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66925"/>
  <mc:AlternateContent xmlns:mc="http://schemas.openxmlformats.org/markup-compatibility/2006">
    <mc:Choice Requires="x15">
      <x15ac:absPath xmlns:x15ac="http://schemas.microsoft.com/office/spreadsheetml/2010/11/ac" url="G:\WQP\5_NPS_Wetlands\Nonpoint_Source_Program\319_Program\2025_Project Cycle\"/>
    </mc:Choice>
  </mc:AlternateContent>
  <xr:revisionPtr revIDLastSave="0" documentId="13_ncr:1_{AF262911-F432-4380-A0C1-6B0A9C7F2516}" xr6:coauthVersionLast="47" xr6:coauthVersionMax="47" xr10:uidLastSave="{00000000-0000-0000-0000-000000000000}"/>
  <bookViews>
    <workbookView xWindow="-108" yWindow="-108" windowWidth="23256" windowHeight="13176" xr2:uid="{700B292D-1E90-44F4-9CD6-A4BA98457106}"/>
  </bookViews>
  <sheets>
    <sheet name="AgencyReviewSummary" sheetId="16" r:id="rId1"/>
    <sheet name="Sheet2" sheetId="18"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16" l="1"/>
  <c r="I39" i="16" s="1"/>
  <c r="B51" i="16" s="1"/>
  <c r="H6" i="16"/>
  <c r="I13" i="16"/>
  <c r="H13" i="16"/>
  <c r="H20" i="16"/>
  <c r="H18" i="16"/>
  <c r="C39" i="16"/>
  <c r="B46" i="16" s="1"/>
  <c r="K10" i="16"/>
  <c r="K9" i="16"/>
  <c r="K4" i="16"/>
  <c r="H17" i="16"/>
  <c r="I22" i="16" l="1"/>
  <c r="H15" i="16"/>
  <c r="H29" i="16"/>
  <c r="J29" i="16"/>
  <c r="B44" i="16"/>
  <c r="C15" i="16"/>
  <c r="L15" i="16"/>
  <c r="K15" i="16"/>
  <c r="J15" i="16"/>
  <c r="D15" i="16"/>
  <c r="C22" i="16"/>
  <c r="B45" i="16"/>
  <c r="B43" i="16"/>
  <c r="D36" i="16" l="1"/>
  <c r="C36" i="16"/>
  <c r="C31" i="16"/>
  <c r="H31" i="16"/>
  <c r="B48" i="16" s="1"/>
  <c r="D31" i="16"/>
  <c r="J31" i="16"/>
  <c r="K31" i="16"/>
  <c r="L31" i="16"/>
  <c r="J22" i="16"/>
  <c r="K22" i="16"/>
  <c r="L22" i="16"/>
  <c r="H22" i="16"/>
  <c r="D22" i="16"/>
  <c r="J39" i="16" l="1"/>
  <c r="J36" i="16"/>
  <c r="D39" i="16"/>
  <c r="L36" i="16" l="1"/>
  <c r="L39" i="16" s="1"/>
  <c r="K36" i="16"/>
  <c r="K39" i="16" s="1"/>
  <c r="H36" i="16" l="1"/>
  <c r="B47" i="16" s="1"/>
  <c r="H39" i="16" l="1"/>
  <c r="B49" i="16" s="1"/>
  <c r="B50" i="16" l="1"/>
</calcChain>
</file>

<file path=xl/sharedStrings.xml><?xml version="1.0" encoding="utf-8"?>
<sst xmlns="http://schemas.openxmlformats.org/spreadsheetml/2006/main" count="127" uniqueCount="94">
  <si>
    <t>Project Name</t>
  </si>
  <si>
    <t>Project Sponsor</t>
  </si>
  <si>
    <t>Agency Review Panel Score</t>
  </si>
  <si>
    <t>Agency Review Panel Funding Recommendation</t>
  </si>
  <si>
    <t>DEQ Staff</t>
  </si>
  <si>
    <t>Anticipated 319 Funding</t>
  </si>
  <si>
    <t>Total Request</t>
  </si>
  <si>
    <t>Grand Total</t>
  </si>
  <si>
    <t>Torie</t>
  </si>
  <si>
    <t>Mark</t>
  </si>
  <si>
    <t>Steve</t>
  </si>
  <si>
    <t>Nonpoint Source Request</t>
  </si>
  <si>
    <t>DEQ 319 Recommend</t>
  </si>
  <si>
    <t>Meagan</t>
  </si>
  <si>
    <t>Montana Association of Conservation Districts</t>
  </si>
  <si>
    <t>Non-Federal Match Offered</t>
  </si>
  <si>
    <t>Ella</t>
  </si>
  <si>
    <t>Tiffany</t>
  </si>
  <si>
    <t>Focus Watershed Allocated</t>
  </si>
  <si>
    <t>Statewide Allocated</t>
  </si>
  <si>
    <t>Total Allocated</t>
  </si>
  <si>
    <t>Project Summary &amp; Funding Recommendation Notes</t>
  </si>
  <si>
    <t>Clark Fork Coalition</t>
  </si>
  <si>
    <t>Statewide Project Applications</t>
  </si>
  <si>
    <t>Grant Creek Restoration</t>
  </si>
  <si>
    <t>Upper O'Brien Creek Stream Restoration Implementation</t>
  </si>
  <si>
    <t>Focus Watershed Project Applications</t>
  </si>
  <si>
    <t>Statewide EO/Capacity Applications</t>
  </si>
  <si>
    <t>Central Clark Fork Watershed Restoration Plan Development</t>
  </si>
  <si>
    <t>Evergreen Water and Sewer District</t>
  </si>
  <si>
    <t>Evergreen Septic Tank Replacement Project</t>
  </si>
  <si>
    <t>Education and Outreach Project</t>
  </si>
  <si>
    <t>Flathead Lakers</t>
  </si>
  <si>
    <t>Flathead Lake Buffer and Retention Pond</t>
  </si>
  <si>
    <t>Montana Freshwater Partners</t>
  </si>
  <si>
    <t>Bangtail Creek Riparian Restoration Project</t>
  </si>
  <si>
    <t>Lower Shields Project Development</t>
  </si>
  <si>
    <t>Gallatin River Task Force</t>
  </si>
  <si>
    <t>South Fork Moose Tracks Stream Restoration Project</t>
  </si>
  <si>
    <t>Big Sky Water Conservation Program - Marketing Campaign</t>
  </si>
  <si>
    <t>Lolo Watershed Group</t>
  </si>
  <si>
    <t>Buildling Capacity for the Lolo Watershed Group</t>
  </si>
  <si>
    <t>Ranching For Rivers Grant Program</t>
  </si>
  <si>
    <t>Water Quality Education and Outreach Mini-Grant Program</t>
  </si>
  <si>
    <t>Rolling Rivers Trailers Mini-Grant Program</t>
  </si>
  <si>
    <t>Montana Conservation Corps</t>
  </si>
  <si>
    <t>Big Hole Watershed Nonpoint Source Reduction and Floodplain Connectivity</t>
  </si>
  <si>
    <t>Montana Technological University</t>
  </si>
  <si>
    <t>The EcosySTEM Project - Community Outreach and Education in the Yellowstone and Clark Fork Watershed</t>
  </si>
  <si>
    <t>Natural Resource Damage Program</t>
  </si>
  <si>
    <t>Blacktail Creek Restoration Project</t>
  </si>
  <si>
    <t>East Fork Cherry Creek Restoration</t>
  </si>
  <si>
    <t>North Fork Spanish Creek &amp; Wetland Restoration</t>
  </si>
  <si>
    <t>Trout Unlimited - Gallatin</t>
  </si>
  <si>
    <t>Trout Unlimited - Shields</t>
  </si>
  <si>
    <t>Brackett Creek Restoration and Erosion Reduction</t>
  </si>
  <si>
    <t>Canyon Creek Stream Restoration and Monitoring Phase I</t>
  </si>
  <si>
    <t>Shields Watershed Capacity</t>
  </si>
  <si>
    <t>Focus Watershed EO/Capacity Applications</t>
  </si>
  <si>
    <t>Trout Unlimited - "Gallatin"</t>
  </si>
  <si>
    <t>Unspent 604</t>
  </si>
  <si>
    <t>604 Recommend</t>
  </si>
  <si>
    <t>DEQ has supported close to 10 years of R4R programing. R4R allows MACD to enter into funding agreements with interested landowners on a much quicker timeline with less administrative burden than traditional 319 funding. This year's R4R proposal includes a request to increase the mini-grant cap to $20,000 from $8,000 and a process to empower local CDs to conduct effectiveness monitoring.
MACD has ~$50,000 for passthrough funding in an existing contract, and NPSW has concerns about how undersubscribed this program has been. This partial fund level is intended to get them through to next year's Call so that they can demonstrate uptick in interest in the program. NPSW is supportive of tweaks to the program but expressed concern about consistency and quality of effectiveness monitoring data collection.</t>
  </si>
  <si>
    <t>DEQ has supported over 10  years of EO mini-grant programing. EO minigrants can be distributed on a much quicker timeline with less administrative burden than traditional 319 funding. This year's EO mini-grant proposal includes a request to increase the mini-grant cap to $8,000 from $4,000.
NPSW is supportive of tweaks to the program, including a de-emphasis on "innovative"  EO programs to (1) better support maintainace activities like those requested in the Rolling River Trailer application and (2) expansion of proven pilot programs to be in line with the Community Based Social Marketing framework.</t>
  </si>
  <si>
    <t xml:space="preserve">This project will reduce sediment pollution along 1 mile of Canyon Creek by installing beaver dam analog structures to aggrade the incised channel, reconnect the floodplain, and decrease bank erosion. </t>
  </si>
  <si>
    <t>CFC will complete the Central Clark Fork Watershed Restoration Plan. This project is a good fit under our 604(b) workplan to support WRP development.</t>
  </si>
  <si>
    <t>This project creates a teacher development program to provide nonpoint source pollution and community based social marketing cirriculum. Teachers will ultimately implement behavior-change lessons in their classrooms, resulting in nonpoint source public service announcements that encourage public pledges of behavior change.
This project ranked well and is an opportunity to implement nonpoint source community-based social marketing in Montana.</t>
  </si>
  <si>
    <t>This will support project development for the 2026-2028 Shields River focus watershed, including activities such as ditch and diversion mapping, water rights analyses, pre-project monitoring of Yellowstone Cutthroat Trout and bank erosion, and landowner coordination.</t>
  </si>
  <si>
    <t>This will support project development for the 2026-2028 Shields River focus watershed, including activities such site visists, public meetings, and pre-project monitoring of Yellowstone Cutthroat Trout and bank erosion.</t>
  </si>
  <si>
    <t>This project is the first under the newly accepted Grant Creek Watershed Restoration Plan (sponsored by the CFC and published 2025). CFC will reduce sediment, nutrient and temperature pollution by reconnecting 5,000 feet of Grant Creek to its floodplain by adding meanders, installing fencing and water gaps to better manage livestock, revegetating and stabilizing banks, and creating wetlands. 
Partial funding is commensurate with being a moderate scoring project in a competitve statewide pool. Funding is contingent upon revising designs to incorporate less meanders and woody debris structures. Depending on availablity of OSG funding and flexibility of DNRC funding, we may try to provide additional funding.</t>
  </si>
  <si>
    <t>Clark Fork Coalition will address sediment and temperature pollution by restoring nearly 2 miles of O'Brien Creek. CFC will relocate 2,200 feet of adjacent USFS road, reshape and revegetate eroding banks, and restore floodplain and wetland habitat.
A previous NPSW grant funded the design phase of this project.</t>
  </si>
  <si>
    <t>Evergreen Water and Sewer District will replace failing cinderblock septic systems at two public schools and incorporate the event into school cirriculum. Evergreen's sewer district is unique in that the District is responsible for homeowner's septic systems, which do not use drainfields and instead route liquid waste to the Kalispell WWTP. The District is also responsible for periodic pumping of solid waste from the individual systems. 
This project ranked among the highest in part because of the extensive prioritization and planning that has already occured, and this project would benefit a financially disadvantaged community. In January Evergreen pitched this project as part of a Focus Watershed proposal, and we subsequently began developing a workplan to fund their initial request ($200,000) with FFY2024 Overflow Sewer Grant funding. If DEQ is able to receive FFY2020, 2021, and/or 2025 OSG funding, this $150,000 in 319 dollars would instead be used to more fully fund MCC, Grant Creek, or to offset use of new DNRC dollars this Call.</t>
  </si>
  <si>
    <t>This applicant unfortunately was disqualified for neglecting to include required landowner letters of support with their final application.
The project would construct a 1,000 sq foot detention pond to treat 25 acres of stormwater from a golf course and 450 of native vegetation lakeshore buffer along a public park. The applicant seems willing to revise designs so that the buffer meets the 35 minimum design requirement, however, the detention pond is likely severely undersized (EPA Bioretention Design Handbook 2023 recommends the surface area = 5-10% of the contributing drainage area, or a minimum 54,450 sq feet).
Depending on OSG funding availability and flexibility of DNRC dollars, it would be worth opening up the opportunity to fund at least the lakeshore buffer (improving public lands on tribal land).</t>
  </si>
  <si>
    <t>This project would add woody debris structures to 3,600 feet of the stream to capture sediment by felling adjacent trees and bringing in wood from nearby thinning efforts.
The project reach flows through Big Sky base area, and the lower extent of the project reach is less than 3,000 feet from Lake Levinsky. The Panel concluded that there would be no sediment nonpoint source benefit to the nearest impaired waterbody, WF Gallatin River, downstream of Lake Levinsky. Other concerns about the project include violating the SMZ law, even if only in spirit, and neglecting to incorporate streamside wood regeneration in project designs.</t>
  </si>
  <si>
    <r>
      <t xml:space="preserve">MCC applied to have crews install 200 beaver dam analog structures across two years and three tributaries (Pintler, Trail, Saginaw drainages). One creek includes installation of livestock fencing and a second includes regrading road drain ditches.
While the Panel expressed a sense that these tributaries were not the next best place for a project to reduce nonpoint source pollution, NPSW decided these tributaries </t>
    </r>
    <r>
      <rPr>
        <i/>
        <sz val="9"/>
        <color theme="1"/>
        <rFont val="Calibri"/>
        <family val="2"/>
        <scheme val="minor"/>
      </rPr>
      <t xml:space="preserve">are </t>
    </r>
    <r>
      <rPr>
        <sz val="9"/>
        <color theme="1"/>
        <rFont val="Calibri"/>
        <family val="2"/>
        <scheme val="minor"/>
      </rPr>
      <t>the type of place where water storage projects are appropriate to benefit downstream nonpoint source issues. Partial funding is commensurate a moderate score and is intended to cover at least one year of project implementation (not the requested two). Funding is contingent on grazing management and livestock fencing applied at all sites (not just 1) and commitment from BHWC or USFS for long term monitoring and adaptive management. Additional funding may be supplemented depending on OSG availability and DNRC flexibility.</t>
    </r>
  </si>
  <si>
    <t>This project will reduce temperature and sediment pollution on Cherry Creek by installing over 40 beaver dam analog &amp; post assisted log structures along nearly 5 miles of stream. Containerized plantings will occur in "clumps" (rather than linearly along the stream) so that the clumps can be protected with fencing from bison grazing. Bison grazing on the instream structures (willow and dogwood cuttings) is thought not to be a major issue because existing willow in the surrounding project area is abundant.</t>
  </si>
  <si>
    <t>This project reduces sediment pollution in the tributary recognized by the Watershed Restoration Plan as the 2nd largest contributor of sediment to the Shields River. MFP will revegetate and install livestock fencing and two hardened crossings along a mile of the stream. This is the type of passive restoration that NPSW loves to support.</t>
  </si>
  <si>
    <t>TU will fill close to 7 miles of ditches that currently drain a 630 acre wetland complex and degrade approximately 5 miles of stream. Additionally, they will install beaver dam analog structures and plant native riparian vegetation in clusters that will be protected from bison grazing.</t>
  </si>
  <si>
    <t>This project will reduce sediment pollution by removing an undersized bridge crossing and resloping and revegetating eroding banks.
NPSW initially considered only funding the bridge component of this project because of concerns with the bank stabilization strategy. However, the Shields is an NRCS focus watershed and therefore also a DEQ focus watershed.The funding requests out of the focus watersheds did not exceed the $500,000 set aside for high quality projects. This project ranked well even amongst statewide projects. The slight decrease to funding corrects their over-ask on administration.</t>
  </si>
  <si>
    <t>$20,000 of this request was to purchase a mobile septic system model. While the Panel acknowledged this would be a wonderful tool that could be loaned throughout the Flathead region, there was insufficient detail in the application to justify the cost or explain the model's specifications. 
The remaining $10,000 request seemed to overlap with the EO outlined in their project application. NPSW feels these activities will be supported by fully funding the project application.</t>
  </si>
  <si>
    <t>A majority of this request was for LWG to hire a consultant to aid the board in developing a fundraising strategy and workplan for an FTE. The Panel was unconvinced that an FTE is the next best step for this watershed, and urges LWG to consider formal partnerships with other organizations implementing projects in the watershed. 
The remainder of the request was for support for outreach activities such as a speaker series and school education. These types of activities could be funded through MACD's E&amp;O mini-grant program.</t>
  </si>
  <si>
    <t>This would create a mini-grant program for maintaining 7+ Conservation District "Rolling River Trailers". DEQ has an existing funding agreement with MACD to replace one CD's stolen trailer and provide maintainance to another couple trailers. No funding has yet been expended. The Panel preferred to support this effort though MACD's existing E&amp;O mini-grant program, which would require de-emphasizing innovative E&amp;O programs and instead supporting some level of program maintainance. The Panel expressed concern with the expense of maintaining trailers and wondered whether table models wouldn't be more portable, year-around usable, better ADA-accessible, and still meet the same ciriculum needs.</t>
  </si>
  <si>
    <t>Hannah</t>
  </si>
  <si>
    <t>x</t>
  </si>
  <si>
    <t>DNRC NPS Recommend</t>
  </si>
  <si>
    <t>NF 319 Match Recommend</t>
  </si>
  <si>
    <t>DNRC NPS Match Recommend</t>
  </si>
  <si>
    <t>Anticipated FY23 DNRC Funds</t>
  </si>
  <si>
    <t>Anticipated DNRC Balance Remaining</t>
  </si>
  <si>
    <t>Balance 319/604 Remaining</t>
  </si>
  <si>
    <t>This project would implement a marketing campaigned aimed at increasing participation in GRTF's Water Conservation Program. They currently have a consultant under contract to identify barriers to participation, and this contract would fund implementation of strategies to reduce those barriers. While the panel expressed hesitancy towards funding this project before we knew the outcomes of their consultant's findings, DEQ ultimately decided to fund this request because of the statewide implications for CBSM lessons learned.</t>
  </si>
  <si>
    <r>
      <t xml:space="preserve">This project will reduce sediment pollution and protect habitat by installing a rock step feature to prevent a headcut from continuing up Blacktail Creek.
Upon further review of panelist's detail score sheets and design plans, there is too much uncertainty to justify funding this project. The application notes that the exposed sewer line is a current fish barrier, yet the sewer line forms the top step of the grade control structure. This design puts into question the long-term integrity of the project, goes against NPSW's minimum design standards of using restoring natural </t>
    </r>
    <r>
      <rPr>
        <i/>
        <sz val="9"/>
        <color theme="1"/>
        <rFont val="Calibri"/>
        <family val="2"/>
        <scheme val="minor"/>
      </rPr>
      <t xml:space="preserve">conditions </t>
    </r>
    <r>
      <rPr>
        <sz val="9"/>
        <color theme="1"/>
        <rFont val="Calibri"/>
        <family val="2"/>
        <scheme val="minor"/>
      </rPr>
      <t>and processes, and makes it unclear whether the proposed solution would eliminate the fish barrier. DEQ recommends that NRDP reapply with justification for not using design alternatives such as reinforcing the sewer line with rock similar to the other steps, or relocating the structure and/or the sewer line and provide a letter of support from FWP specific to their proposed designs.</t>
    </r>
  </si>
  <si>
    <t>Unspent 319</t>
  </si>
  <si>
    <t>Unspent DNRC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</si>
</sst>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quot;$&quot;#,##0"/>
    <numFmt numFmtId="166" formatCode="&quot;$&quot;#,##0.00"/>
  </numFmts>
  <fonts count="13" x14ac:knownFonts="1">
    <font>
      <sz val="11"/>
      <color theme="1"/>
      <name val="Calibri"/>
      <family val="2"/>
      <scheme val="minor"/>
    </font>
    <font>
      <b/>
      <sz val="9"/>
      <color theme="1"/>
      <name val="Calibri"/>
      <family val="2"/>
      <scheme val="minor"/>
    </font>
    <font>
      <b/>
      <sz val="9"/>
      <color theme="0"/>
      <name val="Calibri"/>
      <family val="2"/>
      <scheme val="minor"/>
    </font>
    <font>
      <sz val="9"/>
      <color theme="1"/>
      <name val="Calibri"/>
      <family val="2"/>
      <scheme val="minor"/>
    </font>
    <font>
      <b/>
      <i/>
      <sz val="9"/>
      <color theme="1"/>
      <name val="Calibri"/>
      <family val="2"/>
      <scheme val="minor"/>
    </font>
    <font>
      <sz val="9"/>
      <name val="Calibri"/>
      <family val="2"/>
      <scheme val="minor"/>
    </font>
    <font>
      <u/>
      <sz val="11"/>
      <color theme="10"/>
      <name val="Calibri"/>
      <family val="2"/>
      <scheme val="minor"/>
    </font>
    <font>
      <sz val="9"/>
      <color rgb="FF000000"/>
      <name val="Calibri"/>
      <family val="2"/>
      <scheme val="minor"/>
    </font>
    <font>
      <strike/>
      <sz val="9"/>
      <color theme="1"/>
      <name val="Calibri"/>
      <family val="2"/>
      <scheme val="minor"/>
    </font>
    <font>
      <strike/>
      <sz val="9"/>
      <name val="Calibri"/>
      <family val="2"/>
      <scheme val="minor"/>
    </font>
    <font>
      <b/>
      <i/>
      <strike/>
      <sz val="9"/>
      <color theme="1"/>
      <name val="Calibri"/>
      <family val="2"/>
      <scheme val="minor"/>
    </font>
    <font>
      <sz val="9"/>
      <color rgb="FFFF0000"/>
      <name val="Calibri"/>
      <family val="2"/>
      <scheme val="minor"/>
    </font>
    <font>
      <i/>
      <sz val="9"/>
      <color theme="1"/>
      <name val="Calibri"/>
      <family val="2"/>
      <scheme val="minor"/>
    </font>
  </fonts>
  <fills count="8">
    <fill>
      <patternFill patternType="none"/>
    </fill>
    <fill>
      <patternFill patternType="gray125"/>
    </fill>
    <fill>
      <patternFill patternType="solid">
        <fgColor rgb="FF0070C0"/>
        <bgColor indexed="64"/>
      </patternFill>
    </fill>
    <fill>
      <patternFill patternType="solid">
        <fgColor theme="5" tint="-0.499984740745262"/>
        <bgColor indexed="64"/>
      </patternFill>
    </fill>
    <fill>
      <patternFill patternType="solid">
        <fgColor rgb="FF006600"/>
        <bgColor indexed="64"/>
      </patternFill>
    </fill>
    <fill>
      <patternFill patternType="solid">
        <fgColor rgb="FF333F4F"/>
        <bgColor indexed="64"/>
      </patternFill>
    </fill>
    <fill>
      <patternFill patternType="solid">
        <fgColor theme="0" tint="-0.499984740745262"/>
        <bgColor indexed="64"/>
      </patternFill>
    </fill>
    <fill>
      <patternFill patternType="solid">
        <fgColor them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style="thin">
        <color theme="2" tint="-0.499984740745262"/>
      </right>
      <top/>
      <bottom/>
      <diagonal/>
    </border>
    <border>
      <left/>
      <right/>
      <top/>
      <bottom style="thin">
        <color theme="2" tint="-0.49998474074526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theme="2" tint="-0.499984740745262"/>
      </left>
      <right/>
      <top style="thin">
        <color theme="2" tint="-0.499984740745262"/>
      </top>
      <bottom style="thin">
        <color indexed="64"/>
      </bottom>
      <diagonal/>
    </border>
    <border>
      <left/>
      <right/>
      <top style="thin">
        <color theme="2" tint="-0.499984740745262"/>
      </top>
      <bottom style="thin">
        <color indexed="64"/>
      </bottom>
      <diagonal/>
    </border>
    <border>
      <left/>
      <right style="thick">
        <color theme="2" tint="-0.499984740745262"/>
      </right>
      <top style="thin">
        <color theme="2" tint="-0.499984740745262"/>
      </top>
      <bottom style="thin">
        <color indexed="64"/>
      </bottom>
      <diagonal/>
    </border>
    <border>
      <left/>
      <right/>
      <top/>
      <bottom style="thin">
        <color indexed="64"/>
      </bottom>
      <diagonal/>
    </border>
    <border>
      <left/>
      <right style="thick">
        <color theme="2" tint="-0.499984740745262"/>
      </right>
      <top/>
      <bottom style="thin">
        <color indexed="64"/>
      </bottom>
      <diagonal/>
    </border>
    <border>
      <left/>
      <right style="thick">
        <color theme="2" tint="-0.499984740745262"/>
      </right>
      <top/>
      <bottom/>
      <diagonal/>
    </border>
    <border>
      <left style="thin">
        <color theme="2" tint="-0.499984740745262"/>
      </left>
      <right style="thin">
        <color indexed="64"/>
      </right>
      <top/>
      <bottom/>
      <diagonal/>
    </border>
    <border>
      <left style="thin">
        <color theme="2" tint="-0.499984740745262"/>
      </left>
      <right style="thin">
        <color indexed="64"/>
      </right>
      <top/>
      <bottom style="thin">
        <color theme="2" tint="-0.499984740745262"/>
      </bottom>
      <diagonal/>
    </border>
  </borders>
  <cellStyleXfs count="2">
    <xf numFmtId="0" fontId="0" fillId="0" borderId="0"/>
    <xf numFmtId="0" fontId="6" fillId="0" borderId="0" applyNumberFormat="0" applyFill="0" applyBorder="0" applyAlignment="0" applyProtection="0"/>
  </cellStyleXfs>
  <cellXfs count="98">
    <xf numFmtId="0" fontId="0" fillId="0" borderId="0" xfId="0"/>
    <xf numFmtId="0" fontId="3" fillId="0" borderId="0" xfId="0" applyFont="1" applyAlignment="1">
      <alignment wrapText="1"/>
    </xf>
    <xf numFmtId="0" fontId="3" fillId="2" borderId="0" xfId="0" applyFont="1" applyFill="1"/>
    <xf numFmtId="0" fontId="3" fillId="2" borderId="0" xfId="0" applyFont="1" applyFill="1" applyAlignment="1">
      <alignment wrapText="1"/>
    </xf>
    <xf numFmtId="0" fontId="3" fillId="0" borderId="0" xfId="0" applyFont="1"/>
    <xf numFmtId="0" fontId="2" fillId="3" borderId="2"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5" borderId="0" xfId="0" applyFont="1" applyFill="1" applyAlignment="1">
      <alignment horizontal="center" vertical="center" wrapText="1"/>
    </xf>
    <xf numFmtId="164" fontId="2" fillId="4" borderId="2" xfId="0" applyNumberFormat="1" applyFont="1" applyFill="1" applyBorder="1" applyAlignment="1">
      <alignment horizontal="center" vertical="center" wrapText="1"/>
    </xf>
    <xf numFmtId="164" fontId="3" fillId="0" borderId="0" xfId="0" applyNumberFormat="1" applyFont="1" applyAlignment="1">
      <alignment horizontal="center" vertical="center"/>
    </xf>
    <xf numFmtId="164" fontId="3" fillId="2" borderId="0" xfId="0" applyNumberFormat="1" applyFont="1" applyFill="1" applyAlignment="1">
      <alignment horizontal="center" vertical="center"/>
    </xf>
    <xf numFmtId="165" fontId="4" fillId="0" borderId="2" xfId="0" applyNumberFormat="1" applyFont="1" applyBorder="1" applyAlignment="1">
      <alignment horizontal="right" vertical="center" wrapText="1"/>
    </xf>
    <xf numFmtId="165" fontId="3" fillId="6" borderId="2" xfId="0" applyNumberFormat="1" applyFont="1" applyFill="1" applyBorder="1" applyAlignment="1">
      <alignment horizontal="center" vertical="center"/>
    </xf>
    <xf numFmtId="0" fontId="3" fillId="0" borderId="5" xfId="0" applyFont="1" applyBorder="1"/>
    <xf numFmtId="165" fontId="1" fillId="0" borderId="2" xfId="0" applyNumberFormat="1" applyFont="1" applyBorder="1" applyAlignment="1">
      <alignment horizontal="center" vertical="center"/>
    </xf>
    <xf numFmtId="0" fontId="3" fillId="0" borderId="0" xfId="0" applyFont="1" applyAlignment="1">
      <alignment horizontal="left" vertical="center" wrapText="1"/>
    </xf>
    <xf numFmtId="165" fontId="4" fillId="0" borderId="1" xfId="0" applyNumberFormat="1" applyFont="1" applyBorder="1" applyAlignment="1">
      <alignment horizontal="right" vertical="center" wrapText="1"/>
    </xf>
    <xf numFmtId="0" fontId="3" fillId="6" borderId="3" xfId="0" applyFont="1" applyFill="1" applyBorder="1" applyAlignment="1">
      <alignment horizontal="left" vertical="center" wrapText="1"/>
    </xf>
    <xf numFmtId="0" fontId="3" fillId="0" borderId="1" xfId="0" applyFont="1" applyBorder="1" applyAlignment="1">
      <alignment horizontal="left" vertical="center" wrapText="1"/>
    </xf>
    <xf numFmtId="165" fontId="1" fillId="6" borderId="5" xfId="0" applyNumberFormat="1" applyFont="1" applyFill="1" applyBorder="1" applyAlignment="1">
      <alignment horizontal="center" vertical="center" wrapText="1"/>
    </xf>
    <xf numFmtId="165" fontId="1" fillId="0" borderId="1" xfId="0" applyNumberFormat="1" applyFont="1" applyBorder="1" applyAlignment="1">
      <alignment horizontal="center" vertical="center" wrapText="1"/>
    </xf>
    <xf numFmtId="0" fontId="3" fillId="6" borderId="0" xfId="0" applyFont="1" applyFill="1" applyAlignment="1">
      <alignment vertical="top" wrapText="1"/>
    </xf>
    <xf numFmtId="0" fontId="3" fillId="6" borderId="0" xfId="0" applyFont="1" applyFill="1" applyAlignment="1">
      <alignment wrapText="1"/>
    </xf>
    <xf numFmtId="165" fontId="3" fillId="6" borderId="0" xfId="0" applyNumberFormat="1" applyFont="1" applyFill="1" applyAlignment="1">
      <alignment horizontal="center" vertical="center" wrapText="1"/>
    </xf>
    <xf numFmtId="165" fontId="3" fillId="6" borderId="7" xfId="0" applyNumberFormat="1" applyFont="1" applyFill="1" applyBorder="1" applyAlignment="1">
      <alignment horizontal="center" vertical="center" wrapText="1"/>
    </xf>
    <xf numFmtId="0" fontId="3" fillId="6" borderId="4" xfId="0" applyFont="1" applyFill="1" applyBorder="1" applyAlignment="1">
      <alignment horizontal="left" vertical="center" wrapText="1"/>
    </xf>
    <xf numFmtId="0" fontId="3" fillId="6" borderId="3" xfId="0" applyFont="1" applyFill="1" applyBorder="1" applyAlignment="1">
      <alignment wrapText="1"/>
    </xf>
    <xf numFmtId="165" fontId="3" fillId="6" borderId="3" xfId="0" applyNumberFormat="1" applyFont="1" applyFill="1" applyBorder="1" applyAlignment="1">
      <alignment horizontal="center" vertical="center" wrapText="1"/>
    </xf>
    <xf numFmtId="165" fontId="1" fillId="6" borderId="1" xfId="0" applyNumberFormat="1" applyFont="1" applyFill="1" applyBorder="1" applyAlignment="1">
      <alignment horizontal="center" vertical="center" wrapText="1"/>
    </xf>
    <xf numFmtId="0" fontId="3" fillId="6" borderId="1" xfId="0" applyFont="1" applyFill="1" applyBorder="1" applyAlignment="1">
      <alignment horizontal="left" vertical="center"/>
    </xf>
    <xf numFmtId="165" fontId="3" fillId="6" borderId="8" xfId="0" applyNumberFormat="1" applyFont="1" applyFill="1" applyBorder="1" applyAlignment="1">
      <alignment horizontal="center" vertical="center" wrapText="1"/>
    </xf>
    <xf numFmtId="0" fontId="4" fillId="0" borderId="6" xfId="0" applyFont="1" applyBorder="1" applyAlignment="1">
      <alignment horizontal="right" vertical="center" wrapText="1"/>
    </xf>
    <xf numFmtId="164" fontId="3" fillId="2" borderId="0" xfId="0" applyNumberFormat="1" applyFont="1" applyFill="1"/>
    <xf numFmtId="164" fontId="4" fillId="0" borderId="1" xfId="0" applyNumberFormat="1" applyFont="1" applyBorder="1" applyAlignment="1">
      <alignment horizontal="right" vertical="center" wrapText="1"/>
    </xf>
    <xf numFmtId="164" fontId="3" fillId="6" borderId="0" xfId="0" applyNumberFormat="1" applyFont="1" applyFill="1" applyAlignment="1">
      <alignment horizontal="center" vertical="center" wrapText="1"/>
    </xf>
    <xf numFmtId="164" fontId="3" fillId="6" borderId="8" xfId="0" applyNumberFormat="1" applyFont="1" applyFill="1" applyBorder="1" applyAlignment="1">
      <alignment horizontal="center" vertical="center" wrapText="1"/>
    </xf>
    <xf numFmtId="164" fontId="4" fillId="0" borderId="2" xfId="0" applyNumberFormat="1" applyFont="1" applyBorder="1" applyAlignment="1">
      <alignment horizontal="right" vertical="center" wrapText="1"/>
    </xf>
    <xf numFmtId="164" fontId="3" fillId="0" borderId="0" xfId="0" applyNumberFormat="1" applyFont="1"/>
    <xf numFmtId="0" fontId="2" fillId="3" borderId="2" xfId="0" applyFont="1" applyFill="1" applyBorder="1" applyAlignment="1">
      <alignment horizontal="center" vertical="center" wrapText="1"/>
    </xf>
    <xf numFmtId="0" fontId="3" fillId="0" borderId="9" xfId="0" applyFont="1" applyBorder="1" applyAlignment="1">
      <alignment horizontal="right"/>
    </xf>
    <xf numFmtId="6" fontId="3" fillId="0" borderId="10" xfId="0" applyNumberFormat="1" applyFont="1" applyBorder="1" applyAlignment="1">
      <alignment wrapText="1"/>
    </xf>
    <xf numFmtId="0" fontId="3" fillId="0" borderId="11" xfId="0" applyFont="1" applyBorder="1" applyAlignment="1">
      <alignment horizontal="right"/>
    </xf>
    <xf numFmtId="6" fontId="3" fillId="0" borderId="12" xfId="0" applyNumberFormat="1" applyFont="1" applyBorder="1" applyAlignment="1">
      <alignment wrapText="1"/>
    </xf>
    <xf numFmtId="6" fontId="3" fillId="0" borderId="14" xfId="0" applyNumberFormat="1" applyFont="1" applyBorder="1" applyAlignment="1">
      <alignment wrapText="1"/>
    </xf>
    <xf numFmtId="165" fontId="3" fillId="7" borderId="1" xfId="0" applyNumberFormat="1" applyFont="1" applyFill="1" applyBorder="1" applyAlignment="1">
      <alignment horizontal="center" vertical="center" wrapText="1"/>
    </xf>
    <xf numFmtId="164" fontId="4" fillId="7" borderId="1" xfId="0" applyNumberFormat="1" applyFont="1" applyFill="1" applyBorder="1" applyAlignment="1">
      <alignment horizontal="right" vertical="center" wrapText="1"/>
    </xf>
    <xf numFmtId="0" fontId="3" fillId="7" borderId="1" xfId="0" applyFont="1" applyFill="1" applyBorder="1" applyAlignment="1">
      <alignment horizontal="left" vertical="center" wrapText="1"/>
    </xf>
    <xf numFmtId="165" fontId="3" fillId="0" borderId="1" xfId="0" applyNumberFormat="1" applyFont="1" applyBorder="1" applyAlignment="1">
      <alignment horizontal="center" vertical="center" wrapText="1"/>
    </xf>
    <xf numFmtId="165" fontId="3" fillId="6" borderId="4"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8" fontId="7" fillId="0" borderId="1" xfId="0" applyNumberFormat="1" applyFont="1" applyBorder="1" applyAlignment="1">
      <alignment horizontal="center" vertical="center" wrapText="1"/>
    </xf>
    <xf numFmtId="8" fontId="5" fillId="0" borderId="1" xfId="0" applyNumberFormat="1" applyFont="1" applyBorder="1" applyAlignment="1">
      <alignment horizontal="center" vertical="center" wrapText="1"/>
    </xf>
    <xf numFmtId="0" fontId="3" fillId="0" borderId="16" xfId="0" applyFont="1" applyBorder="1" applyAlignment="1">
      <alignment horizontal="right"/>
    </xf>
    <xf numFmtId="6" fontId="3" fillId="0" borderId="17" xfId="0" applyNumberFormat="1" applyFont="1" applyBorder="1" applyAlignment="1">
      <alignment wrapText="1"/>
    </xf>
    <xf numFmtId="0" fontId="3" fillId="0" borderId="18" xfId="0" applyFont="1" applyBorder="1" applyAlignment="1">
      <alignment horizontal="right"/>
    </xf>
    <xf numFmtId="6" fontId="3" fillId="0" borderId="19" xfId="0" applyNumberFormat="1" applyFont="1" applyBorder="1" applyAlignment="1">
      <alignment wrapText="1"/>
    </xf>
    <xf numFmtId="0" fontId="3" fillId="0" borderId="20" xfId="0" applyFont="1" applyBorder="1" applyAlignment="1">
      <alignment horizontal="right"/>
    </xf>
    <xf numFmtId="6" fontId="3" fillId="0" borderId="21" xfId="0" applyNumberFormat="1" applyFont="1" applyBorder="1" applyAlignment="1">
      <alignment wrapText="1"/>
    </xf>
    <xf numFmtId="0" fontId="7" fillId="0" borderId="1" xfId="0" applyFont="1" applyBorder="1" applyAlignment="1">
      <alignment vertical="center"/>
    </xf>
    <xf numFmtId="0" fontId="5" fillId="7" borderId="1" xfId="1" applyFont="1" applyFill="1" applyBorder="1" applyAlignment="1">
      <alignment vertical="center" wrapText="1"/>
    </xf>
    <xf numFmtId="0" fontId="5" fillId="0" borderId="1" xfId="1" applyFont="1" applyFill="1" applyBorder="1" applyAlignment="1">
      <alignment vertical="center" wrapText="1"/>
    </xf>
    <xf numFmtId="0" fontId="5" fillId="0" borderId="0" xfId="1" applyFont="1" applyAlignment="1">
      <alignment vertical="center" wrapText="1"/>
    </xf>
    <xf numFmtId="0" fontId="5" fillId="0" borderId="1" xfId="1" applyFont="1" applyBorder="1" applyAlignment="1">
      <alignment vertical="center" wrapText="1"/>
    </xf>
    <xf numFmtId="0" fontId="5" fillId="0" borderId="0" xfId="1" applyFont="1" applyBorder="1" applyAlignment="1">
      <alignment vertical="center" wrapText="1"/>
    </xf>
    <xf numFmtId="0" fontId="3" fillId="7" borderId="1" xfId="0" applyFont="1" applyFill="1" applyBorder="1" applyAlignment="1">
      <alignment horizontal="center" vertical="center" wrapText="1"/>
    </xf>
    <xf numFmtId="0" fontId="3" fillId="0" borderId="11" xfId="0" applyFont="1" applyBorder="1" applyAlignment="1">
      <alignment horizontal="right" wrapText="1"/>
    </xf>
    <xf numFmtId="0" fontId="3" fillId="0" borderId="16" xfId="0" applyFont="1" applyBorder="1" applyAlignment="1">
      <alignment horizontal="right" wrapText="1"/>
    </xf>
    <xf numFmtId="0" fontId="3" fillId="0" borderId="0" xfId="0" applyFont="1" applyAlignment="1">
      <alignment vertical="center"/>
    </xf>
    <xf numFmtId="0" fontId="3" fillId="0" borderId="0" xfId="0" applyFont="1" applyAlignment="1">
      <alignment vertical="center" wrapText="1"/>
    </xf>
    <xf numFmtId="0" fontId="3" fillId="2" borderId="15" xfId="0" applyFont="1" applyFill="1" applyBorder="1"/>
    <xf numFmtId="0" fontId="2" fillId="4" borderId="15" xfId="0" applyFont="1" applyFill="1" applyBorder="1" applyAlignment="1">
      <alignment horizontal="center" vertical="center" wrapText="1"/>
    </xf>
    <xf numFmtId="0" fontId="3" fillId="6" borderId="28" xfId="0" applyFont="1" applyFill="1" applyBorder="1" applyAlignment="1">
      <alignment horizontal="left" vertical="center"/>
    </xf>
    <xf numFmtId="0" fontId="3" fillId="6" borderId="29" xfId="0" applyFont="1" applyFill="1" applyBorder="1" applyAlignment="1">
      <alignment horizontal="left" vertical="center"/>
    </xf>
    <xf numFmtId="0" fontId="3" fillId="0" borderId="15" xfId="0" applyFont="1" applyBorder="1" applyAlignment="1">
      <alignment horizontal="left" vertical="center"/>
    </xf>
    <xf numFmtId="0" fontId="3" fillId="0" borderId="15" xfId="0" applyFont="1" applyBorder="1"/>
    <xf numFmtId="8" fontId="5" fillId="7" borderId="1" xfId="0" applyNumberFormat="1" applyFont="1" applyFill="1" applyBorder="1" applyAlignment="1">
      <alignment horizontal="center" vertical="center" wrapText="1"/>
    </xf>
    <xf numFmtId="0" fontId="8" fillId="7" borderId="1" xfId="0" applyFont="1" applyFill="1" applyBorder="1" applyAlignment="1">
      <alignment horizontal="left" vertical="center" wrapText="1"/>
    </xf>
    <xf numFmtId="0" fontId="9" fillId="7" borderId="1" xfId="1" applyFont="1" applyFill="1" applyBorder="1" applyAlignment="1">
      <alignment vertical="center" wrapText="1"/>
    </xf>
    <xf numFmtId="165" fontId="8" fillId="7" borderId="1" xfId="0" applyNumberFormat="1" applyFont="1" applyFill="1" applyBorder="1" applyAlignment="1">
      <alignment horizontal="center" vertical="center" wrapText="1"/>
    </xf>
    <xf numFmtId="164" fontId="10" fillId="7" borderId="1" xfId="0" applyNumberFormat="1" applyFont="1" applyFill="1" applyBorder="1" applyAlignment="1">
      <alignment horizontal="right" vertical="center" wrapText="1"/>
    </xf>
    <xf numFmtId="0" fontId="8" fillId="7" borderId="1" xfId="0" applyFont="1" applyFill="1" applyBorder="1" applyAlignment="1">
      <alignment horizontal="center" vertical="center" wrapText="1"/>
    </xf>
    <xf numFmtId="165" fontId="11" fillId="7" borderId="1" xfId="0" applyNumberFormat="1" applyFont="1" applyFill="1" applyBorder="1" applyAlignment="1">
      <alignment horizontal="center" vertical="center" wrapText="1"/>
    </xf>
    <xf numFmtId="2" fontId="4" fillId="7" borderId="1" xfId="0" applyNumberFormat="1" applyFont="1" applyFill="1" applyBorder="1" applyAlignment="1">
      <alignment horizontal="right" vertical="center" wrapText="1"/>
    </xf>
    <xf numFmtId="2" fontId="10" fillId="7" borderId="1" xfId="0" applyNumberFormat="1" applyFont="1" applyFill="1" applyBorder="1" applyAlignment="1">
      <alignment horizontal="right" vertical="center" wrapText="1"/>
    </xf>
    <xf numFmtId="2" fontId="4" fillId="0" borderId="1" xfId="0" applyNumberFormat="1" applyFont="1" applyBorder="1" applyAlignment="1">
      <alignment horizontal="right" vertical="center" wrapText="1"/>
    </xf>
    <xf numFmtId="165" fontId="5" fillId="0" borderId="1" xfId="0" applyNumberFormat="1" applyFont="1" applyBorder="1" applyAlignment="1">
      <alignment horizontal="center" vertical="center" wrapText="1"/>
    </xf>
    <xf numFmtId="166" fontId="3" fillId="0" borderId="0" xfId="0" applyNumberFormat="1" applyFont="1"/>
    <xf numFmtId="0" fontId="5" fillId="7" borderId="1" xfId="0" applyFont="1" applyFill="1" applyBorder="1" applyAlignment="1">
      <alignment horizontal="center" vertical="center" wrapText="1"/>
    </xf>
    <xf numFmtId="0" fontId="3" fillId="0" borderId="13" xfId="0" applyFont="1" applyBorder="1" applyAlignment="1">
      <alignment horizontal="right" wrapText="1"/>
    </xf>
    <xf numFmtId="165" fontId="5" fillId="7" borderId="1" xfId="0" applyNumberFormat="1" applyFont="1" applyFill="1" applyBorder="1" applyAlignment="1">
      <alignment horizontal="center" vertical="center" wrapText="1"/>
    </xf>
    <xf numFmtId="0" fontId="4" fillId="0" borderId="1" xfId="0" applyFont="1" applyBorder="1" applyAlignment="1">
      <alignment horizontal="right" vertical="center" wrapText="1"/>
    </xf>
    <xf numFmtId="0" fontId="2" fillId="6" borderId="22"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top" wrapText="1"/>
    </xf>
    <xf numFmtId="0" fontId="2" fillId="6" borderId="26" xfId="0" applyFont="1" applyFill="1" applyBorder="1" applyAlignment="1">
      <alignment horizontal="center" vertical="top" wrapText="1"/>
    </xf>
    <xf numFmtId="0" fontId="2" fillId="6" borderId="0" xfId="0" applyFont="1" applyFill="1" applyAlignment="1">
      <alignment horizontal="center" vertical="top" wrapText="1"/>
    </xf>
    <xf numFmtId="0" fontId="2" fillId="6" borderId="27" xfId="0"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1357B-1578-4C73-9B0F-9C675024220D}">
  <sheetPr codeName="Sheet1">
    <tabColor rgb="FF0070C0"/>
    <pageSetUpPr fitToPage="1"/>
  </sheetPr>
  <dimension ref="A1:O51"/>
  <sheetViews>
    <sheetView tabSelected="1" zoomScaleNormal="100" workbookViewId="0">
      <pane xSplit="2" ySplit="3" topLeftCell="C12" activePane="bottomRight" state="frozen"/>
      <selection pane="topRight" activeCell="E1" sqref="E1"/>
      <selection pane="bottomLeft" activeCell="A4" sqref="A4"/>
      <selection pane="bottomRight" activeCell="A13" sqref="A13:XFD13"/>
    </sheetView>
  </sheetViews>
  <sheetFormatPr defaultColWidth="9.109375" defaultRowHeight="12" x14ac:dyDescent="0.25"/>
  <cols>
    <col min="1" max="1" width="20.109375" style="4" customWidth="1"/>
    <col min="2" max="2" width="17.88671875" style="1" customWidth="1"/>
    <col min="3" max="3" width="12" style="4" customWidth="1"/>
    <col min="4" max="4" width="10.6640625" style="4" customWidth="1"/>
    <col min="5" max="5" width="2.33203125" style="4" customWidth="1"/>
    <col min="6" max="6" width="9.88671875" style="37" customWidth="1"/>
    <col min="7" max="7" width="13.44140625" style="4" bestFit="1" customWidth="1"/>
    <col min="8" max="8" width="9.6640625" style="4" bestFit="1" customWidth="1"/>
    <col min="9" max="9" width="9.6640625" style="4" customWidth="1"/>
    <col min="10" max="10" width="10" style="4" customWidth="1"/>
    <col min="11" max="11" width="10.33203125" style="9" customWidth="1"/>
    <col min="12" max="12" width="9.6640625" style="9" customWidth="1"/>
    <col min="13" max="13" width="46.88671875" style="1" customWidth="1"/>
    <col min="14" max="14" width="9.109375" style="74"/>
    <col min="15" max="16384" width="9.109375" style="4"/>
  </cols>
  <sheetData>
    <row r="1" spans="1:15" x14ac:dyDescent="0.25">
      <c r="A1" s="2"/>
      <c r="B1" s="3"/>
      <c r="C1" s="2"/>
      <c r="D1" s="2"/>
      <c r="E1" s="2"/>
      <c r="F1" s="32"/>
      <c r="G1" s="2"/>
      <c r="H1" s="2"/>
      <c r="I1" s="2"/>
      <c r="J1" s="2"/>
      <c r="K1" s="10"/>
      <c r="L1" s="10"/>
      <c r="M1" s="3"/>
      <c r="N1" s="69"/>
    </row>
    <row r="2" spans="1:15" ht="36" customHeight="1" x14ac:dyDescent="0.25">
      <c r="A2" s="5" t="s">
        <v>1</v>
      </c>
      <c r="B2" s="38" t="s">
        <v>0</v>
      </c>
      <c r="C2" s="6" t="s">
        <v>11</v>
      </c>
      <c r="D2" s="6" t="s">
        <v>15</v>
      </c>
      <c r="E2" s="6"/>
      <c r="F2" s="8" t="s">
        <v>2</v>
      </c>
      <c r="G2" s="8" t="s">
        <v>3</v>
      </c>
      <c r="H2" s="6" t="s">
        <v>12</v>
      </c>
      <c r="I2" s="6" t="s">
        <v>84</v>
      </c>
      <c r="J2" s="6" t="s">
        <v>61</v>
      </c>
      <c r="K2" s="6" t="s">
        <v>85</v>
      </c>
      <c r="L2" s="6" t="s">
        <v>86</v>
      </c>
      <c r="M2" s="7" t="s">
        <v>21</v>
      </c>
      <c r="N2" s="70" t="s">
        <v>4</v>
      </c>
    </row>
    <row r="3" spans="1:15" x14ac:dyDescent="0.25">
      <c r="A3" s="91" t="s">
        <v>23</v>
      </c>
      <c r="B3" s="92"/>
      <c r="C3" s="92"/>
      <c r="D3" s="92"/>
      <c r="E3" s="92"/>
      <c r="F3" s="92"/>
      <c r="G3" s="92"/>
      <c r="H3" s="92"/>
      <c r="I3" s="92"/>
      <c r="J3" s="92"/>
      <c r="K3" s="92"/>
      <c r="L3" s="92"/>
      <c r="M3" s="92"/>
      <c r="N3" s="93"/>
    </row>
    <row r="4" spans="1:15" s="67" customFormat="1" ht="168" x14ac:dyDescent="0.3">
      <c r="A4" s="46" t="s">
        <v>22</v>
      </c>
      <c r="B4" s="59" t="s">
        <v>24</v>
      </c>
      <c r="C4" s="44">
        <v>215500</v>
      </c>
      <c r="D4" s="44">
        <v>144200</v>
      </c>
      <c r="E4" s="44"/>
      <c r="F4" s="45">
        <v>59.333333333333336</v>
      </c>
      <c r="G4" s="82">
        <v>2.1666666666666665</v>
      </c>
      <c r="H4" s="81">
        <v>130000</v>
      </c>
      <c r="I4" s="89">
        <v>0</v>
      </c>
      <c r="J4" s="44">
        <v>0</v>
      </c>
      <c r="K4" s="44">
        <f>(D4/C4)*H4</f>
        <v>86988.399071925742</v>
      </c>
      <c r="L4" s="44"/>
      <c r="M4" s="46" t="s">
        <v>69</v>
      </c>
      <c r="N4" s="64" t="s">
        <v>16</v>
      </c>
      <c r="O4" s="67" t="s">
        <v>83</v>
      </c>
    </row>
    <row r="5" spans="1:15" s="67" customFormat="1" ht="72" x14ac:dyDescent="0.3">
      <c r="A5" s="46" t="s">
        <v>22</v>
      </c>
      <c r="B5" s="59" t="s">
        <v>25</v>
      </c>
      <c r="C5" s="44">
        <v>110750</v>
      </c>
      <c r="D5" s="44">
        <v>74250</v>
      </c>
      <c r="E5" s="44"/>
      <c r="F5" s="45">
        <v>64.833333333333329</v>
      </c>
      <c r="G5" s="82">
        <v>2.3333333333333335</v>
      </c>
      <c r="H5" s="44">
        <v>110750</v>
      </c>
      <c r="I5" s="44">
        <v>0</v>
      </c>
      <c r="J5" s="44">
        <v>0</v>
      </c>
      <c r="K5" s="44">
        <v>74250</v>
      </c>
      <c r="L5" s="44"/>
      <c r="M5" s="46" t="s">
        <v>70</v>
      </c>
      <c r="N5" s="64" t="s">
        <v>16</v>
      </c>
      <c r="O5" s="67" t="s">
        <v>83</v>
      </c>
    </row>
    <row r="6" spans="1:15" s="67" customFormat="1" ht="216" x14ac:dyDescent="0.3">
      <c r="A6" s="46" t="s">
        <v>29</v>
      </c>
      <c r="B6" s="59" t="s">
        <v>30</v>
      </c>
      <c r="C6" s="44">
        <v>150000</v>
      </c>
      <c r="D6" s="44">
        <v>100000</v>
      </c>
      <c r="E6" s="44"/>
      <c r="F6" s="45">
        <v>64.833333333333329</v>
      </c>
      <c r="G6" s="82">
        <v>2.8333333333333335</v>
      </c>
      <c r="H6" s="89">
        <f>150000-38500</f>
        <v>111500</v>
      </c>
      <c r="I6" s="89">
        <v>38500</v>
      </c>
      <c r="J6" s="44">
        <v>0</v>
      </c>
      <c r="K6" s="44">
        <v>100000</v>
      </c>
      <c r="L6" s="44"/>
      <c r="M6" s="46" t="s">
        <v>71</v>
      </c>
      <c r="N6" s="64" t="s">
        <v>13</v>
      </c>
      <c r="O6" s="67" t="s">
        <v>83</v>
      </c>
    </row>
    <row r="7" spans="1:15" s="67" customFormat="1" ht="192" x14ac:dyDescent="0.3">
      <c r="A7" s="76" t="s">
        <v>32</v>
      </c>
      <c r="B7" s="77" t="s">
        <v>33</v>
      </c>
      <c r="C7" s="78">
        <v>106000</v>
      </c>
      <c r="D7" s="78">
        <v>98502</v>
      </c>
      <c r="E7" s="78"/>
      <c r="F7" s="79"/>
      <c r="G7" s="83"/>
      <c r="H7" s="78">
        <v>0</v>
      </c>
      <c r="I7" s="78"/>
      <c r="J7" s="78">
        <v>0</v>
      </c>
      <c r="K7" s="78">
        <v>0</v>
      </c>
      <c r="L7" s="78"/>
      <c r="M7" s="46" t="s">
        <v>72</v>
      </c>
      <c r="N7" s="80" t="s">
        <v>9</v>
      </c>
      <c r="O7" s="67" t="s">
        <v>83</v>
      </c>
    </row>
    <row r="8" spans="1:15" s="67" customFormat="1" ht="144" x14ac:dyDescent="0.3">
      <c r="A8" s="46" t="s">
        <v>37</v>
      </c>
      <c r="B8" s="59" t="s">
        <v>38</v>
      </c>
      <c r="C8" s="44">
        <v>46000</v>
      </c>
      <c r="D8" s="44">
        <v>91500</v>
      </c>
      <c r="E8" s="44"/>
      <c r="F8" s="45">
        <v>48.166666666666664</v>
      </c>
      <c r="G8" s="82">
        <v>0.66666666666666663</v>
      </c>
      <c r="H8" s="44">
        <v>0</v>
      </c>
      <c r="I8" s="44">
        <v>0</v>
      </c>
      <c r="J8" s="44">
        <v>0</v>
      </c>
      <c r="K8" s="44">
        <v>0</v>
      </c>
      <c r="L8" s="44"/>
      <c r="M8" s="46" t="s">
        <v>73</v>
      </c>
      <c r="N8" s="80" t="s">
        <v>16</v>
      </c>
      <c r="O8" s="67" t="s">
        <v>83</v>
      </c>
    </row>
    <row r="9" spans="1:15" s="67" customFormat="1" ht="204" x14ac:dyDescent="0.3">
      <c r="A9" s="46" t="s">
        <v>45</v>
      </c>
      <c r="B9" s="59" t="s">
        <v>46</v>
      </c>
      <c r="C9" s="44">
        <v>189000</v>
      </c>
      <c r="D9" s="44">
        <v>134901.15</v>
      </c>
      <c r="E9" s="44"/>
      <c r="F9" s="45">
        <v>58.833333333333336</v>
      </c>
      <c r="G9" s="82">
        <v>1.5</v>
      </c>
      <c r="H9" s="81">
        <v>100000</v>
      </c>
      <c r="I9" s="89">
        <v>0</v>
      </c>
      <c r="J9" s="44">
        <v>0</v>
      </c>
      <c r="K9" s="44">
        <f>(D9/C9)*H9</f>
        <v>71376.269841269837</v>
      </c>
      <c r="L9" s="44"/>
      <c r="M9" s="46" t="s">
        <v>74</v>
      </c>
      <c r="N9" s="87" t="s">
        <v>10</v>
      </c>
      <c r="O9" s="67" t="s">
        <v>83</v>
      </c>
    </row>
    <row r="10" spans="1:15" s="67" customFormat="1" ht="180" x14ac:dyDescent="0.3">
      <c r="A10" s="46" t="s">
        <v>14</v>
      </c>
      <c r="B10" s="59" t="s">
        <v>42</v>
      </c>
      <c r="C10" s="44">
        <v>146277</v>
      </c>
      <c r="D10" s="44">
        <v>100360</v>
      </c>
      <c r="E10" s="44"/>
      <c r="F10" s="45">
        <v>54.5</v>
      </c>
      <c r="G10" s="82">
        <v>1.1666666666666667</v>
      </c>
      <c r="H10" s="44">
        <v>55000</v>
      </c>
      <c r="I10" s="44">
        <v>0</v>
      </c>
      <c r="J10" s="44">
        <v>0</v>
      </c>
      <c r="K10" s="44">
        <f>(D10/C10)*H10</f>
        <v>37735.255713475119</v>
      </c>
      <c r="L10" s="44"/>
      <c r="M10" s="46" t="s">
        <v>62</v>
      </c>
      <c r="N10" s="64" t="s">
        <v>13</v>
      </c>
      <c r="O10" s="67" t="s">
        <v>83</v>
      </c>
    </row>
    <row r="11" spans="1:15" s="67" customFormat="1" ht="144" x14ac:dyDescent="0.3">
      <c r="A11" s="46" t="s">
        <v>14</v>
      </c>
      <c r="B11" s="59" t="s">
        <v>43</v>
      </c>
      <c r="C11" s="44">
        <v>109472</v>
      </c>
      <c r="D11" s="44">
        <v>74769</v>
      </c>
      <c r="E11" s="44"/>
      <c r="F11" s="45">
        <v>60.888888888888886</v>
      </c>
      <c r="G11" s="82">
        <v>2.2222222222222223</v>
      </c>
      <c r="H11" s="44">
        <v>109472</v>
      </c>
      <c r="I11" s="44">
        <v>0</v>
      </c>
      <c r="J11" s="44">
        <v>0</v>
      </c>
      <c r="K11" s="44">
        <v>74769</v>
      </c>
      <c r="L11" s="44"/>
      <c r="M11" s="46" t="s">
        <v>63</v>
      </c>
      <c r="N11" s="64" t="s">
        <v>17</v>
      </c>
      <c r="O11" s="67" t="s">
        <v>83</v>
      </c>
    </row>
    <row r="12" spans="1:15" s="67" customFormat="1" ht="204" x14ac:dyDescent="0.3">
      <c r="A12" s="46" t="s">
        <v>49</v>
      </c>
      <c r="B12" s="59" t="s">
        <v>50</v>
      </c>
      <c r="C12" s="44">
        <v>75000</v>
      </c>
      <c r="D12" s="44">
        <v>81300</v>
      </c>
      <c r="E12" s="44"/>
      <c r="F12" s="45">
        <v>59</v>
      </c>
      <c r="G12" s="82">
        <v>1.6666666666666667</v>
      </c>
      <c r="H12" s="44">
        <v>0</v>
      </c>
      <c r="I12" s="44">
        <v>0</v>
      </c>
      <c r="J12" s="44">
        <v>0</v>
      </c>
      <c r="K12" s="44">
        <v>0</v>
      </c>
      <c r="L12" s="44"/>
      <c r="M12" s="46" t="s">
        <v>91</v>
      </c>
      <c r="N12" s="80" t="s">
        <v>9</v>
      </c>
      <c r="O12" s="67" t="s">
        <v>83</v>
      </c>
    </row>
    <row r="13" spans="1:15" s="67" customFormat="1" ht="108" x14ac:dyDescent="0.3">
      <c r="A13" s="46" t="s">
        <v>59</v>
      </c>
      <c r="B13" s="59" t="s">
        <v>51</v>
      </c>
      <c r="C13" s="75">
        <v>139863.4</v>
      </c>
      <c r="D13" s="44">
        <v>93780</v>
      </c>
      <c r="E13" s="44"/>
      <c r="F13" s="45">
        <v>68.666666666666671</v>
      </c>
      <c r="G13" s="82">
        <v>2.5</v>
      </c>
      <c r="H13" s="44">
        <f>((139863-12000-1613)/2)+(12000+1613)</f>
        <v>76738</v>
      </c>
      <c r="I13" s="44">
        <f>C13-H13</f>
        <v>63125.399999999994</v>
      </c>
      <c r="J13" s="44">
        <v>0</v>
      </c>
      <c r="K13" s="44">
        <v>93780</v>
      </c>
      <c r="L13" s="44"/>
      <c r="M13" s="46" t="s">
        <v>75</v>
      </c>
      <c r="N13" s="64" t="s">
        <v>16</v>
      </c>
      <c r="O13" s="67" t="s">
        <v>83</v>
      </c>
    </row>
    <row r="14" spans="1:15" ht="14.25" customHeight="1" x14ac:dyDescent="0.25">
      <c r="A14" s="21"/>
      <c r="B14" s="22"/>
      <c r="C14" s="23"/>
      <c r="D14" s="24"/>
      <c r="E14" s="48"/>
      <c r="F14" s="34"/>
      <c r="G14" s="23"/>
      <c r="H14" s="23"/>
      <c r="I14" s="23"/>
      <c r="J14" s="23"/>
      <c r="K14" s="24"/>
      <c r="L14" s="24"/>
      <c r="M14" s="25"/>
      <c r="N14" s="71"/>
    </row>
    <row r="15" spans="1:15" x14ac:dyDescent="0.25">
      <c r="A15" s="90"/>
      <c r="B15" s="90"/>
      <c r="C15" s="20">
        <f>SUM(C4+C5+C6+C8+C9+C10+C11+C12+C13)</f>
        <v>1181862.3999999999</v>
      </c>
      <c r="D15" s="20">
        <f>SUM(D4:D13)</f>
        <v>993562.15</v>
      </c>
      <c r="E15" s="19"/>
      <c r="F15" s="33"/>
      <c r="G15" s="16"/>
      <c r="H15" s="20">
        <f>SUM(H4:H13)</f>
        <v>693460</v>
      </c>
      <c r="I15" s="20">
        <f>SUM(I13,I6)</f>
        <v>101625.4</v>
      </c>
      <c r="J15" s="20">
        <f>SUM(J4:J13)</f>
        <v>0</v>
      </c>
      <c r="K15" s="20">
        <f>SUM(K4:K13)</f>
        <v>538898.92462667066</v>
      </c>
      <c r="L15" s="20">
        <f>SUM(L4:L13)</f>
        <v>0</v>
      </c>
      <c r="M15" s="29"/>
      <c r="N15" s="29"/>
    </row>
    <row r="16" spans="1:15" x14ac:dyDescent="0.25">
      <c r="A16" s="91" t="s">
        <v>26</v>
      </c>
      <c r="B16" s="92"/>
      <c r="C16" s="92"/>
      <c r="D16" s="92"/>
      <c r="E16" s="92"/>
      <c r="F16" s="92"/>
      <c r="G16" s="92"/>
      <c r="H16" s="92"/>
      <c r="I16" s="92"/>
      <c r="J16" s="92"/>
      <c r="K16" s="92"/>
      <c r="L16" s="92"/>
      <c r="M16" s="92"/>
      <c r="N16" s="93"/>
    </row>
    <row r="17" spans="1:14" s="67" customFormat="1" ht="72" x14ac:dyDescent="0.3">
      <c r="A17" s="58" t="s">
        <v>34</v>
      </c>
      <c r="B17" s="60" t="s">
        <v>35</v>
      </c>
      <c r="C17" s="50">
        <v>63755.5</v>
      </c>
      <c r="D17" s="47">
        <v>42900</v>
      </c>
      <c r="E17" s="47"/>
      <c r="F17" s="33">
        <v>68.5</v>
      </c>
      <c r="G17" s="84">
        <v>2.8333333333333335</v>
      </c>
      <c r="H17" s="85">
        <f>63756</f>
        <v>63756</v>
      </c>
      <c r="I17" s="85">
        <v>0</v>
      </c>
      <c r="J17" s="47">
        <v>0</v>
      </c>
      <c r="K17" s="47">
        <v>42900</v>
      </c>
      <c r="L17" s="47"/>
      <c r="M17" s="18" t="s">
        <v>76</v>
      </c>
      <c r="N17" s="49" t="s">
        <v>9</v>
      </c>
    </row>
    <row r="18" spans="1:14" s="67" customFormat="1" ht="66" customHeight="1" x14ac:dyDescent="0.3">
      <c r="A18" s="18" t="s">
        <v>53</v>
      </c>
      <c r="B18" s="62" t="s">
        <v>52</v>
      </c>
      <c r="C18" s="50">
        <v>165683.4</v>
      </c>
      <c r="D18" s="47">
        <v>111540</v>
      </c>
      <c r="E18" s="47"/>
      <c r="F18" s="33">
        <v>64.5</v>
      </c>
      <c r="G18" s="84">
        <v>2.3333333333333335</v>
      </c>
      <c r="H18" s="47">
        <f>C18-I18</f>
        <v>165683.4</v>
      </c>
      <c r="I18" s="47">
        <v>0</v>
      </c>
      <c r="J18" s="47">
        <v>0</v>
      </c>
      <c r="K18" s="47">
        <v>111540</v>
      </c>
      <c r="L18" s="47"/>
      <c r="M18" s="18" t="s">
        <v>77</v>
      </c>
      <c r="N18" s="49" t="s">
        <v>16</v>
      </c>
    </row>
    <row r="19" spans="1:14" s="67" customFormat="1" ht="144" x14ac:dyDescent="0.3">
      <c r="A19" s="18" t="s">
        <v>54</v>
      </c>
      <c r="B19" s="63" t="s">
        <v>55</v>
      </c>
      <c r="C19" s="50">
        <v>172086</v>
      </c>
      <c r="D19" s="47">
        <v>114845</v>
      </c>
      <c r="E19" s="47"/>
      <c r="F19" s="33">
        <v>61.333333333333336</v>
      </c>
      <c r="G19" s="84">
        <v>2</v>
      </c>
      <c r="H19" s="85">
        <v>172086</v>
      </c>
      <c r="I19" s="85">
        <v>0</v>
      </c>
      <c r="J19" s="47">
        <v>0</v>
      </c>
      <c r="K19" s="47">
        <v>111375</v>
      </c>
      <c r="L19" s="47"/>
      <c r="M19" s="18" t="s">
        <v>78</v>
      </c>
      <c r="N19" s="49" t="s">
        <v>8</v>
      </c>
    </row>
    <row r="20" spans="1:14" s="67" customFormat="1" ht="48" x14ac:dyDescent="0.3">
      <c r="A20" s="18" t="s">
        <v>54</v>
      </c>
      <c r="B20" s="61" t="s">
        <v>56</v>
      </c>
      <c r="C20" s="51">
        <v>55376</v>
      </c>
      <c r="D20" s="47">
        <v>36929</v>
      </c>
      <c r="E20" s="47"/>
      <c r="F20" s="33">
        <v>66.333333333333329</v>
      </c>
      <c r="G20" s="84">
        <v>2.6666666666666665</v>
      </c>
      <c r="H20" s="47">
        <f>C20-I20</f>
        <v>55376</v>
      </c>
      <c r="I20" s="47">
        <v>0</v>
      </c>
      <c r="J20" s="47">
        <v>0</v>
      </c>
      <c r="K20" s="47">
        <v>36929</v>
      </c>
      <c r="L20" s="47"/>
      <c r="M20" s="18" t="s">
        <v>64</v>
      </c>
      <c r="N20" s="49" t="s">
        <v>8</v>
      </c>
    </row>
    <row r="21" spans="1:14" ht="3.9" customHeight="1" x14ac:dyDescent="0.25">
      <c r="A21" s="21"/>
      <c r="B21" s="22"/>
      <c r="C21" s="23"/>
      <c r="D21" s="24"/>
      <c r="E21" s="48"/>
      <c r="F21" s="34"/>
      <c r="G21" s="23"/>
      <c r="H21" s="23"/>
      <c r="I21" s="23"/>
      <c r="J21" s="23"/>
      <c r="K21" s="24"/>
      <c r="L21" s="24"/>
      <c r="M21" s="25"/>
      <c r="N21" s="71"/>
    </row>
    <row r="22" spans="1:14" x14ac:dyDescent="0.25">
      <c r="A22" s="90"/>
      <c r="B22" s="90"/>
      <c r="C22" s="20">
        <f>SUM(C17:C20)</f>
        <v>456900.9</v>
      </c>
      <c r="D22" s="20">
        <f>SUM(D17:D20)</f>
        <v>306214</v>
      </c>
      <c r="E22" s="19"/>
      <c r="F22" s="33"/>
      <c r="G22" s="16"/>
      <c r="H22" s="20">
        <f>SUM(H17:H20)</f>
        <v>456901.4</v>
      </c>
      <c r="I22" s="20">
        <f>SUM(I17:I20)</f>
        <v>0</v>
      </c>
      <c r="J22" s="20">
        <f>SUM(J17:J20)</f>
        <v>0</v>
      </c>
      <c r="K22" s="20">
        <f>SUM(K17:K20)</f>
        <v>302744</v>
      </c>
      <c r="L22" s="20">
        <f>SUM(L17:L20)</f>
        <v>0</v>
      </c>
      <c r="M22" s="29"/>
      <c r="N22" s="29"/>
    </row>
    <row r="23" spans="1:14" x14ac:dyDescent="0.25">
      <c r="A23" s="94" t="s">
        <v>27</v>
      </c>
      <c r="B23" s="94"/>
      <c r="C23" s="94"/>
      <c r="D23" s="94"/>
      <c r="E23" s="94"/>
      <c r="F23" s="94"/>
      <c r="G23" s="94"/>
      <c r="H23" s="94"/>
      <c r="I23" s="94"/>
      <c r="J23" s="94"/>
      <c r="K23" s="94"/>
      <c r="L23" s="94"/>
      <c r="M23" s="94"/>
      <c r="N23" s="95"/>
    </row>
    <row r="24" spans="1:14" s="67" customFormat="1" ht="36" x14ac:dyDescent="0.3">
      <c r="A24" s="46" t="s">
        <v>22</v>
      </c>
      <c r="B24" s="59" t="s">
        <v>28</v>
      </c>
      <c r="C24" s="44">
        <v>17500</v>
      </c>
      <c r="D24" s="44">
        <v>7000</v>
      </c>
      <c r="E24" s="44"/>
      <c r="F24" s="45">
        <v>72.75</v>
      </c>
      <c r="G24" s="82">
        <v>2.5</v>
      </c>
      <c r="H24" s="44">
        <v>0</v>
      </c>
      <c r="I24" s="44">
        <v>0</v>
      </c>
      <c r="J24" s="44">
        <v>17500</v>
      </c>
      <c r="K24" s="44">
        <v>0</v>
      </c>
      <c r="L24" s="44"/>
      <c r="M24" s="46" t="s">
        <v>65</v>
      </c>
      <c r="N24" s="64" t="s">
        <v>16</v>
      </c>
    </row>
    <row r="25" spans="1:14" s="68" customFormat="1" ht="108" x14ac:dyDescent="0.3">
      <c r="A25" s="46" t="s">
        <v>29</v>
      </c>
      <c r="B25" s="59" t="s">
        <v>31</v>
      </c>
      <c r="C25" s="44">
        <v>30000</v>
      </c>
      <c r="D25" s="44">
        <v>20000</v>
      </c>
      <c r="E25" s="44"/>
      <c r="F25" s="45">
        <v>71.75</v>
      </c>
      <c r="G25" s="82">
        <v>1.75</v>
      </c>
      <c r="H25" s="44">
        <v>0</v>
      </c>
      <c r="I25" s="44">
        <v>0</v>
      </c>
      <c r="J25" s="44">
        <v>0</v>
      </c>
      <c r="K25" s="44">
        <v>0</v>
      </c>
      <c r="L25" s="44"/>
      <c r="M25" s="46" t="s">
        <v>79</v>
      </c>
      <c r="N25" s="80" t="s">
        <v>13</v>
      </c>
    </row>
    <row r="26" spans="1:14" s="68" customFormat="1" ht="132.75" customHeight="1" x14ac:dyDescent="0.3">
      <c r="A26" s="46" t="s">
        <v>37</v>
      </c>
      <c r="B26" s="59" t="s">
        <v>39</v>
      </c>
      <c r="C26" s="44">
        <v>20000</v>
      </c>
      <c r="D26" s="44">
        <v>13500</v>
      </c>
      <c r="E26" s="44"/>
      <c r="F26" s="45">
        <v>64.75</v>
      </c>
      <c r="G26" s="82">
        <v>0.75</v>
      </c>
      <c r="H26" s="89">
        <v>20000</v>
      </c>
      <c r="I26" s="89">
        <v>0</v>
      </c>
      <c r="J26" s="44">
        <v>0</v>
      </c>
      <c r="K26" s="44">
        <v>13500</v>
      </c>
      <c r="L26" s="44"/>
      <c r="M26" s="46" t="s">
        <v>90</v>
      </c>
      <c r="N26" s="64" t="s">
        <v>17</v>
      </c>
    </row>
    <row r="27" spans="1:14" s="68" customFormat="1" ht="132" x14ac:dyDescent="0.3">
      <c r="A27" s="46" t="s">
        <v>40</v>
      </c>
      <c r="B27" s="59" t="s">
        <v>41</v>
      </c>
      <c r="C27" s="44">
        <v>8382.35</v>
      </c>
      <c r="D27" s="44">
        <v>12048.68</v>
      </c>
      <c r="E27" s="44"/>
      <c r="F27" s="45">
        <v>64.75</v>
      </c>
      <c r="G27" s="82">
        <v>1.25</v>
      </c>
      <c r="H27" s="44">
        <v>0</v>
      </c>
      <c r="I27" s="44">
        <v>0</v>
      </c>
      <c r="J27" s="44">
        <v>0</v>
      </c>
      <c r="K27" s="44">
        <v>0</v>
      </c>
      <c r="L27" s="44"/>
      <c r="M27" s="46" t="s">
        <v>80</v>
      </c>
      <c r="N27" s="80" t="s">
        <v>17</v>
      </c>
    </row>
    <row r="28" spans="1:14" s="68" customFormat="1" ht="144" x14ac:dyDescent="0.3">
      <c r="A28" s="46" t="s">
        <v>14</v>
      </c>
      <c r="B28" s="59" t="s">
        <v>44</v>
      </c>
      <c r="C28" s="44">
        <v>29979</v>
      </c>
      <c r="D28" s="44">
        <v>20000</v>
      </c>
      <c r="E28" s="44"/>
      <c r="F28" s="45">
        <v>57</v>
      </c>
      <c r="G28" s="82">
        <v>0.5</v>
      </c>
      <c r="H28" s="44">
        <v>0</v>
      </c>
      <c r="I28" s="44">
        <v>0</v>
      </c>
      <c r="J28" s="44">
        <v>0</v>
      </c>
      <c r="K28" s="44">
        <v>0</v>
      </c>
      <c r="L28" s="44"/>
      <c r="M28" s="46" t="s">
        <v>81</v>
      </c>
      <c r="N28" s="80" t="s">
        <v>13</v>
      </c>
    </row>
    <row r="29" spans="1:14" s="68" customFormat="1" ht="108" x14ac:dyDescent="0.3">
      <c r="A29" s="46" t="s">
        <v>47</v>
      </c>
      <c r="B29" s="59" t="s">
        <v>48</v>
      </c>
      <c r="C29" s="44">
        <v>24500</v>
      </c>
      <c r="D29" s="44">
        <v>13500</v>
      </c>
      <c r="E29" s="44"/>
      <c r="F29" s="45">
        <v>73.25</v>
      </c>
      <c r="G29" s="82">
        <v>2.5</v>
      </c>
      <c r="H29" s="44">
        <f>24500-1731</f>
        <v>22769</v>
      </c>
      <c r="I29" s="44">
        <v>0</v>
      </c>
      <c r="J29" s="44">
        <f>19231-17500</f>
        <v>1731</v>
      </c>
      <c r="K29" s="44">
        <v>13500</v>
      </c>
      <c r="L29" s="44"/>
      <c r="M29" s="46" t="s">
        <v>66</v>
      </c>
      <c r="N29" s="64" t="s">
        <v>82</v>
      </c>
    </row>
    <row r="30" spans="1:14" x14ac:dyDescent="0.25">
      <c r="A30" s="21"/>
      <c r="B30" s="22"/>
      <c r="C30" s="23"/>
      <c r="D30" s="24"/>
      <c r="E30" s="48"/>
      <c r="F30" s="34"/>
      <c r="G30" s="23"/>
      <c r="H30" s="23"/>
      <c r="I30" s="23"/>
      <c r="J30" s="23"/>
      <c r="K30" s="24"/>
      <c r="L30" s="24"/>
      <c r="M30" s="25"/>
      <c r="N30" s="71"/>
    </row>
    <row r="31" spans="1:14" x14ac:dyDescent="0.25">
      <c r="A31" s="90"/>
      <c r="B31" s="90"/>
      <c r="C31" s="20">
        <f>SUM(C24:C29)</f>
        <v>130361.35</v>
      </c>
      <c r="D31" s="20">
        <f>SUM(D24:D29)</f>
        <v>86048.68</v>
      </c>
      <c r="E31" s="19"/>
      <c r="F31" s="33"/>
      <c r="G31" s="16"/>
      <c r="H31" s="20">
        <f>SUM(H24:H29)</f>
        <v>42769</v>
      </c>
      <c r="I31" s="20">
        <v>0</v>
      </c>
      <c r="J31" s="20">
        <f t="shared" ref="J31:L31" si="0">SUM(J24:J29)</f>
        <v>19231</v>
      </c>
      <c r="K31" s="20">
        <f t="shared" si="0"/>
        <v>27000</v>
      </c>
      <c r="L31" s="20">
        <f t="shared" si="0"/>
        <v>0</v>
      </c>
      <c r="M31" s="29"/>
      <c r="N31" s="29"/>
    </row>
    <row r="32" spans="1:14" ht="11.25" customHeight="1" x14ac:dyDescent="0.25">
      <c r="A32" s="96" t="s">
        <v>58</v>
      </c>
      <c r="B32" s="96"/>
      <c r="C32" s="96"/>
      <c r="D32" s="96"/>
      <c r="E32" s="96"/>
      <c r="F32" s="96"/>
      <c r="G32" s="96"/>
      <c r="H32" s="96"/>
      <c r="I32" s="96"/>
      <c r="J32" s="96"/>
      <c r="K32" s="96"/>
      <c r="L32" s="96"/>
      <c r="M32" s="96"/>
      <c r="N32" s="97"/>
    </row>
    <row r="33" spans="1:14" s="67" customFormat="1" ht="48" x14ac:dyDescent="0.3">
      <c r="A33" s="18" t="s">
        <v>34</v>
      </c>
      <c r="B33" s="61" t="s">
        <v>36</v>
      </c>
      <c r="C33" s="50">
        <v>30000</v>
      </c>
      <c r="D33" s="47">
        <v>20000</v>
      </c>
      <c r="E33" s="47"/>
      <c r="F33" s="33">
        <v>77</v>
      </c>
      <c r="G33" s="84">
        <v>3</v>
      </c>
      <c r="H33" s="47">
        <v>30000</v>
      </c>
      <c r="I33" s="47">
        <v>0</v>
      </c>
      <c r="J33" s="47">
        <v>0</v>
      </c>
      <c r="K33" s="47">
        <v>20000</v>
      </c>
      <c r="L33" s="47"/>
      <c r="M33" s="18" t="s">
        <v>68</v>
      </c>
      <c r="N33" s="49" t="s">
        <v>9</v>
      </c>
    </row>
    <row r="34" spans="1:14" s="67" customFormat="1" ht="60" x14ac:dyDescent="0.3">
      <c r="A34" s="18" t="s">
        <v>54</v>
      </c>
      <c r="B34" s="62" t="s">
        <v>57</v>
      </c>
      <c r="C34" s="50">
        <v>15000</v>
      </c>
      <c r="D34" s="47">
        <v>10000</v>
      </c>
      <c r="E34" s="47"/>
      <c r="F34" s="33">
        <v>77.5</v>
      </c>
      <c r="G34" s="84">
        <v>3</v>
      </c>
      <c r="H34" s="47">
        <v>15000</v>
      </c>
      <c r="I34" s="47">
        <v>0</v>
      </c>
      <c r="J34" s="47">
        <v>0</v>
      </c>
      <c r="K34" s="47">
        <v>10000</v>
      </c>
      <c r="L34" s="47"/>
      <c r="M34" s="18" t="s">
        <v>67</v>
      </c>
      <c r="N34" s="49" t="s">
        <v>8</v>
      </c>
    </row>
    <row r="35" spans="1:14" ht="3.9" customHeight="1" x14ac:dyDescent="0.25">
      <c r="A35" s="26"/>
      <c r="B35" s="26"/>
      <c r="C35" s="27"/>
      <c r="D35" s="27"/>
      <c r="E35" s="27"/>
      <c r="F35" s="35"/>
      <c r="G35" s="30"/>
      <c r="H35" s="27"/>
      <c r="I35" s="27"/>
      <c r="J35" s="27"/>
      <c r="K35" s="27"/>
      <c r="L35" s="27"/>
      <c r="M35" s="17"/>
      <c r="N35" s="72"/>
    </row>
    <row r="36" spans="1:14" x14ac:dyDescent="0.25">
      <c r="A36" s="90"/>
      <c r="B36" s="90"/>
      <c r="C36" s="20">
        <f>SUM(C33:C34)</f>
        <v>45000</v>
      </c>
      <c r="D36" s="20">
        <f>SUM(D33:D34)</f>
        <v>30000</v>
      </c>
      <c r="E36" s="28"/>
      <c r="F36" s="33"/>
      <c r="G36" s="16"/>
      <c r="H36" s="20">
        <f>SUM(H24:H34)</f>
        <v>130538</v>
      </c>
      <c r="I36" s="20">
        <v>0</v>
      </c>
      <c r="J36" s="20">
        <f>SUM(J31)</f>
        <v>19231</v>
      </c>
      <c r="K36" s="20">
        <f>SUM(K24:K34)</f>
        <v>84000</v>
      </c>
      <c r="L36" s="20">
        <f>SUM(L24:L34)</f>
        <v>0</v>
      </c>
      <c r="M36" s="29"/>
      <c r="N36" s="29"/>
    </row>
    <row r="37" spans="1:14" ht="3.9" customHeight="1" x14ac:dyDescent="0.25">
      <c r="A37" s="26"/>
      <c r="B37" s="26"/>
      <c r="C37" s="27"/>
      <c r="D37" s="27"/>
      <c r="E37" s="27"/>
      <c r="F37" s="35"/>
      <c r="G37" s="30"/>
      <c r="H37" s="27"/>
      <c r="I37" s="27"/>
      <c r="J37" s="27"/>
      <c r="K37" s="27"/>
      <c r="L37" s="27"/>
      <c r="M37" s="17"/>
      <c r="N37" s="72"/>
    </row>
    <row r="38" spans="1:14" ht="3.9" customHeight="1" x14ac:dyDescent="0.25">
      <c r="A38" s="26"/>
      <c r="B38" s="26"/>
      <c r="C38" s="27"/>
      <c r="D38" s="27"/>
      <c r="E38" s="27"/>
      <c r="F38" s="35"/>
      <c r="G38" s="30"/>
      <c r="H38" s="27"/>
      <c r="I38" s="27"/>
      <c r="J38" s="27"/>
      <c r="K38" s="27"/>
      <c r="L38" s="27"/>
      <c r="M38" s="17"/>
      <c r="N38" s="72"/>
    </row>
    <row r="39" spans="1:14" x14ac:dyDescent="0.25">
      <c r="A39" s="13"/>
      <c r="B39" s="31" t="s">
        <v>7</v>
      </c>
      <c r="C39" s="14">
        <f>SUM(C22+C36+C31+C15)</f>
        <v>1814124.65</v>
      </c>
      <c r="D39" s="14">
        <f>SUM(D22+D36+D31+D15)</f>
        <v>1415824.83</v>
      </c>
      <c r="E39" s="12"/>
      <c r="F39" s="36"/>
      <c r="G39" s="11"/>
      <c r="H39" s="14">
        <f>SUM(H22+H36+H31+H15)</f>
        <v>1323668.3999999999</v>
      </c>
      <c r="I39" s="14">
        <f>SUM(I22,I15)</f>
        <v>101625.4</v>
      </c>
      <c r="J39" s="14">
        <f>SUM(J31)</f>
        <v>19231</v>
      </c>
      <c r="K39" s="14">
        <f>SUM(K22+K36+K31+K15)</f>
        <v>952642.92462667066</v>
      </c>
      <c r="L39" s="14">
        <f>SUM(L22+L36+L31+L15)</f>
        <v>0</v>
      </c>
      <c r="M39" s="15"/>
      <c r="N39" s="73"/>
    </row>
    <row r="40" spans="1:14" ht="12.6" thickBot="1" x14ac:dyDescent="0.3"/>
    <row r="41" spans="1:14" x14ac:dyDescent="0.25">
      <c r="A41" s="39" t="s">
        <v>5</v>
      </c>
      <c r="B41" s="40">
        <v>1000000</v>
      </c>
    </row>
    <row r="42" spans="1:14" x14ac:dyDescent="0.25">
      <c r="A42" s="41" t="s">
        <v>87</v>
      </c>
      <c r="B42" s="42">
        <v>248000</v>
      </c>
      <c r="H42" s="86"/>
      <c r="I42" s="86"/>
    </row>
    <row r="43" spans="1:14" x14ac:dyDescent="0.25">
      <c r="A43" s="65" t="s">
        <v>92</v>
      </c>
      <c r="B43" s="42">
        <f>162783+24158+62798+188995.08-114769.52</f>
        <v>323964.55999999994</v>
      </c>
    </row>
    <row r="44" spans="1:14" x14ac:dyDescent="0.25">
      <c r="A44" s="65" t="s">
        <v>60</v>
      </c>
      <c r="B44" s="42">
        <f>19231</f>
        <v>19231</v>
      </c>
    </row>
    <row r="45" spans="1:14" x14ac:dyDescent="0.25">
      <c r="A45" s="66" t="s">
        <v>93</v>
      </c>
      <c r="B45" s="53">
        <f>62610-62610</f>
        <v>0</v>
      </c>
    </row>
    <row r="46" spans="1:14" x14ac:dyDescent="0.25">
      <c r="A46" s="54" t="s">
        <v>6</v>
      </c>
      <c r="B46" s="55">
        <f>C39</f>
        <v>1814124.65</v>
      </c>
    </row>
    <row r="47" spans="1:14" x14ac:dyDescent="0.25">
      <c r="A47" s="56" t="s">
        <v>18</v>
      </c>
      <c r="B47" s="57">
        <f>SUM(H36:J36,H22:J22)</f>
        <v>606670.4</v>
      </c>
    </row>
    <row r="48" spans="1:14" x14ac:dyDescent="0.25">
      <c r="A48" s="41" t="s">
        <v>19</v>
      </c>
      <c r="B48" s="42">
        <f>SUM(H31:J31,H15:J15)</f>
        <v>857085.4</v>
      </c>
    </row>
    <row r="49" spans="1:2" x14ac:dyDescent="0.25">
      <c r="A49" s="52" t="s">
        <v>20</v>
      </c>
      <c r="B49" s="53">
        <f>SUM(H39:J39)</f>
        <v>1444524.7999999998</v>
      </c>
    </row>
    <row r="50" spans="1:2" x14ac:dyDescent="0.25">
      <c r="A50" s="41" t="s">
        <v>89</v>
      </c>
      <c r="B50" s="42">
        <f>(B41+B43+B44)-H39-J39</f>
        <v>296.16000000014901</v>
      </c>
    </row>
    <row r="51" spans="1:2" ht="24.6" thickBot="1" x14ac:dyDescent="0.3">
      <c r="A51" s="88" t="s">
        <v>88</v>
      </c>
      <c r="B51" s="43">
        <f>B42-I39</f>
        <v>146374.6</v>
      </c>
    </row>
  </sheetData>
  <mergeCells count="8">
    <mergeCell ref="A36:B36"/>
    <mergeCell ref="A31:B31"/>
    <mergeCell ref="A3:N3"/>
    <mergeCell ref="A16:N16"/>
    <mergeCell ref="A23:N23"/>
    <mergeCell ref="A32:N32"/>
    <mergeCell ref="A22:B22"/>
    <mergeCell ref="A15:B15"/>
  </mergeCells>
  <pageMargins left="0.7" right="0.7" top="0.75" bottom="0.75" header="0.3" footer="0.3"/>
  <pageSetup scale="4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492FB-01B7-4DDB-ABC1-A21EF8E7052A}">
  <sheetPr codeName="Sheet4">
    <tabColor theme="0" tint="-0.499984740745262"/>
  </sheetPr>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AgencyReviewSummary</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Ockey</dc:creator>
  <cp:lastModifiedBy>Riedl, Hannah</cp:lastModifiedBy>
  <cp:lastPrinted>2025-04-25T15:10:24Z</cp:lastPrinted>
  <dcterms:created xsi:type="dcterms:W3CDTF">2021-11-17T14:56:21Z</dcterms:created>
  <dcterms:modified xsi:type="dcterms:W3CDTF">2025-05-02T17:18:16Z</dcterms:modified>
</cp:coreProperties>
</file>