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G:\COM\OPENCUT\FileNet\JJ\Filenet-CheckedOut\"/>
    </mc:Choice>
  </mc:AlternateContent>
  <xr:revisionPtr revIDLastSave="0" documentId="13_ncr:1_{2F91E301-90DE-4C5F-9B01-297089F95103}" xr6:coauthVersionLast="46" xr6:coauthVersionMax="46" xr10:uidLastSave="{00000000-0000-0000-0000-000000000000}"/>
  <workbookProtection workbookPassword="D1F7" lockStructure="1"/>
  <bookViews>
    <workbookView xWindow="2340" yWindow="2340" windowWidth="38700" windowHeight="15435" xr2:uid="{00000000-000D-0000-FFFF-FFFF00000000}"/>
  </bookViews>
  <sheets>
    <sheet name="Bond Form" sheetId="1" r:id="rId1"/>
  </sheets>
  <definedNames>
    <definedName name="_xlnm.Print_Area" localSheetId="0">'Bond Form'!$A$1:$H$65</definedName>
    <definedName name="Z_1B10C37A_FF60_480C_9A5E_72479D1F69DA_.wvu.PrintArea" localSheetId="0" hidden="1">'Bond Form'!$A$1:$H$65</definedName>
    <definedName name="Z_1B10C37A_FF60_480C_9A5E_72479D1F69DA_.wvu.Rows" localSheetId="0" hidden="1">'Bond Form'!#REF!</definedName>
    <definedName name="Z_7BD906AA_836F_4B76_8E07_293A24CA4AE2_.wvu.PrintArea" localSheetId="0" hidden="1">'Bond Form'!$A$1:$H$65</definedName>
    <definedName name="Z_7BD906AA_836F_4B76_8E07_293A24CA4AE2_.wvu.Rows" localSheetId="0" hidden="1">'Bond Form'!#REF!</definedName>
  </definedNames>
  <calcPr calcId="191029"/>
  <customWorkbookViews>
    <customWorkbookView name="james conner - Personal View" guid="{7BD906AA-836F-4B76-8E07-293A24CA4AE2}" mergeInterval="0" personalView="1" maximized="1" windowWidth="1280" windowHeight="748" activeSheetId="1"/>
    <customWorkbookView name="Jackson, Don - Personal View" guid="{1B10C37A-FF60-480C-9A5E-72479D1F69DA}" mergeInterval="0" personalView="1" maximized="1" windowWidth="1024" windowHeight="53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" l="1"/>
  <c r="B65" i="1" l="1"/>
  <c r="B9" i="1" l="1"/>
  <c r="H40" i="1" l="1"/>
  <c r="B51" i="1" s="1"/>
  <c r="H51" i="1" s="1"/>
  <c r="H39" i="1"/>
  <c r="B48" i="1" s="1"/>
  <c r="H48" i="1" s="1"/>
  <c r="D51" i="1"/>
  <c r="D50" i="1"/>
  <c r="H50" i="1" s="1"/>
  <c r="D49" i="1"/>
  <c r="H49" i="1" s="1"/>
  <c r="D48" i="1"/>
  <c r="D47" i="1"/>
  <c r="H47" i="1" s="1"/>
  <c r="D46" i="1"/>
  <c r="H46" i="1" s="1"/>
  <c r="F37" i="1"/>
  <c r="F36" i="1"/>
  <c r="F33" i="1"/>
  <c r="F32" i="1"/>
  <c r="F29" i="1"/>
  <c r="F28" i="1"/>
  <c r="H59" i="1"/>
  <c r="H58" i="1"/>
  <c r="D52" i="1"/>
  <c r="H52" i="1" s="1"/>
  <c r="H57" i="1"/>
  <c r="H54" i="1"/>
  <c r="H55" i="1"/>
  <c r="H56" i="1"/>
  <c r="H60" i="1"/>
  <c r="K18" i="1"/>
  <c r="O9" i="1"/>
  <c r="Q9" i="1" s="1"/>
  <c r="Q19" i="1"/>
  <c r="Q28" i="1"/>
  <c r="K25" i="1"/>
  <c r="K21" i="1"/>
  <c r="K9" i="1"/>
  <c r="K12" i="1"/>
  <c r="G29" i="1" l="1"/>
  <c r="D43" i="1" s="1"/>
  <c r="H43" i="1" s="1"/>
  <c r="G37" i="1"/>
  <c r="G33" i="1"/>
  <c r="D53" i="1"/>
  <c r="H53" i="1" s="1"/>
  <c r="B20" i="1"/>
  <c r="D44" i="1" l="1"/>
  <c r="H44" i="1" s="1"/>
  <c r="D45" i="1"/>
  <c r="H45" i="1" s="1"/>
  <c r="H61" i="1" s="1"/>
  <c r="H63" i="1" s="1"/>
  <c r="H65" i="1" l="1"/>
  <c r="F65" i="1" s="1"/>
</calcChain>
</file>

<file path=xl/sharedStrings.xml><?xml version="1.0" encoding="utf-8"?>
<sst xmlns="http://schemas.openxmlformats.org/spreadsheetml/2006/main" count="208" uniqueCount="143">
  <si>
    <t>UNIT</t>
  </si>
  <si>
    <t>AMOUNT</t>
  </si>
  <si>
    <t>inches</t>
  </si>
  <si>
    <t>acres</t>
  </si>
  <si>
    <t>per acre</t>
  </si>
  <si>
    <t xml:space="preserve">     RATE</t>
  </si>
  <si>
    <t>cubic yards</t>
  </si>
  <si>
    <t>cu yds</t>
  </si>
  <si>
    <t>per cubic yard</t>
  </si>
  <si>
    <t>per linear foot</t>
  </si>
  <si>
    <t>TO</t>
  </si>
  <si>
    <t>FROM</t>
  </si>
  <si>
    <t>square feet</t>
  </si>
  <si>
    <t>cubic feet</t>
  </si>
  <si>
    <t>inches deep / acre</t>
  </si>
  <si>
    <t>perimeter feet</t>
  </si>
  <si>
    <t>(enter your numbers in the shaded boxes)</t>
  </si>
  <si>
    <t>:1</t>
  </si>
  <si>
    <t xml:space="preserve"> height</t>
  </si>
  <si>
    <t>total</t>
  </si>
  <si>
    <t>Area</t>
  </si>
  <si>
    <t>Acres</t>
  </si>
  <si>
    <t>Depth</t>
  </si>
  <si>
    <t>Feet</t>
  </si>
  <si>
    <t>Gross</t>
  </si>
  <si>
    <t>Cu Yds</t>
  </si>
  <si>
    <t>Slope</t>
  </si>
  <si>
    <t>Minus 30%</t>
  </si>
  <si>
    <t>Compaction</t>
  </si>
  <si>
    <t>Diameter</t>
  </si>
  <si>
    <t>Height</t>
  </si>
  <si>
    <t>Length</t>
  </si>
  <si>
    <t>Volume</t>
  </si>
  <si>
    <t>PIT VOLUME CALCULATOR</t>
  </si>
  <si>
    <t>%</t>
  </si>
  <si>
    <t>Loose Cu Yd</t>
  </si>
  <si>
    <t>Backfill</t>
  </si>
  <si>
    <t>BACKFILL VOLUME CALCULATOR</t>
  </si>
  <si>
    <t>mobilization</t>
  </si>
  <si>
    <t>ITEM</t>
  </si>
  <si>
    <t xml:space="preserve">Reclamation Bond Spreadsheet  </t>
  </si>
  <si>
    <t>General definitions:</t>
  </si>
  <si>
    <t>linear ft</t>
  </si>
  <si>
    <t>CALCULATORS</t>
  </si>
  <si>
    <t>COMMON CONVERSION</t>
  </si>
  <si>
    <t>1.</t>
  </si>
  <si>
    <t>2.</t>
  </si>
  <si>
    <t>3.</t>
  </si>
  <si>
    <t>= total of items added by DEQ for engineering, design, insurance, permits, etc.</t>
  </si>
  <si>
    <t>depth</t>
  </si>
  <si>
    <t>compaction %</t>
  </si>
  <si>
    <t>acres 1 foot deep</t>
  </si>
  <si>
    <t>See instructions on page 3 for details on volume calculations</t>
  </si>
  <si>
    <t>Comments:</t>
  </si>
  <si>
    <t>inches soil</t>
  </si>
  <si>
    <t>= total round trip miles to the nearest town with a contractor able to perform reclamation.</t>
  </si>
  <si>
    <t>How highwalls, backfill, and stockpiles are calculated:</t>
  </si>
  <si>
    <r>
      <t xml:space="preserve">INSTRUCTIONS: </t>
    </r>
    <r>
      <rPr>
        <sz val="11"/>
        <rFont val="Arial"/>
        <family val="2"/>
      </rPr>
      <t>Enter your data in the shaded boxes.  See page 3 for detailed instructions.</t>
    </r>
  </si>
  <si>
    <t xml:space="preserve">Date:  </t>
  </si>
  <si>
    <t xml:space="preserve">Prepared by: </t>
  </si>
  <si>
    <t>INSTRUCTIONS FOR USING THE BOND RECLAMATION SPREADSHEET</t>
  </si>
  <si>
    <t>Access road soil replacement</t>
  </si>
  <si>
    <t>Access road area grading</t>
  </si>
  <si>
    <t>Access road area ripping</t>
  </si>
  <si>
    <t>Seeding or other revegetation</t>
  </si>
  <si>
    <t>Fencing</t>
  </si>
  <si>
    <t>Weed control</t>
  </si>
  <si>
    <t>Cost to crush onsite asphalt</t>
  </si>
  <si>
    <t>administration costs</t>
  </si>
  <si>
    <t xml:space="preserve">   Rate Per Bonded Acre =</t>
  </si>
  <si>
    <t>BONDED ACREAGE BREAKDOWN</t>
  </si>
  <si>
    <t>Total Bonded Area =</t>
  </si>
  <si>
    <t xml:space="preserve">      Total Area Bonded =</t>
  </si>
  <si>
    <t xml:space="preserve">linear feet </t>
  </si>
  <si>
    <t>Description</t>
  </si>
  <si>
    <t>Total Permitted Acres =</t>
  </si>
  <si>
    <t>acres*</t>
  </si>
  <si>
    <t>acres**</t>
  </si>
  <si>
    <t>TOTAL</t>
  </si>
  <si>
    <t>Use this spreadsheet for your estimate of bond costs for permit, amendment, and assignment applications.  The DEQ may use additional data in its final bond calculation.</t>
  </si>
  <si>
    <t>Mine soil replacement</t>
  </si>
  <si>
    <t>Overburden Replacement</t>
  </si>
  <si>
    <t>inches OB    total</t>
  </si>
  <si>
    <t>Access Road</t>
  </si>
  <si>
    <t>Non-Bonded</t>
  </si>
  <si>
    <t>Bonded</t>
  </si>
  <si>
    <t>Phase I Release Bonded Area</t>
  </si>
  <si>
    <t>Bonded area grading</t>
  </si>
  <si>
    <t>Bonded area ripping</t>
  </si>
  <si>
    <t>Bonded soil and OB replacement</t>
  </si>
  <si>
    <t>Highwall Cut/Fill</t>
  </si>
  <si>
    <t>Backfill Transport/Placement Cost-Onsite $2cy, offsite $15cy</t>
  </si>
  <si>
    <t>This Microsoft Excel spreadsheet is available at http://www.deq.mt.gov/opencut/opencutpermitforms.mcpx.</t>
  </si>
  <si>
    <t>The Comment Box is used to explain additional or other uses, how acreages were determined, why there are deletions or additions to the standard items, etc.</t>
  </si>
  <si>
    <t>Phase 1 Released</t>
  </si>
  <si>
    <t>a name for each highwall, such as "west" or "north".</t>
  </si>
  <si>
    <t>any cut face, 5 feet or higher, with an angle greater than 3:1.</t>
  </si>
  <si>
    <t>excess or additional material used to raise the pit floor and/or slope a highwall.  Usually found onsite or offsite.</t>
  </si>
  <si>
    <t>Road from nearest public access to permitted site &amp; included in permit with the consent of the landowner.</t>
  </si>
  <si>
    <t xml:space="preserve">Permitted acres that Opencut activities can occur on.  </t>
  </si>
  <si>
    <t>Permitted acres of land that No Opencut activities can occur on until fully bonded.</t>
  </si>
  <si>
    <t xml:space="preserve">Permitted acres that are graded, resoiled, and seeded and only bonded for revegetation &amp; weed control.  </t>
  </si>
  <si>
    <t>An estimate of the expected compaction or shrinkage of fill material, usually 10%.</t>
  </si>
  <si>
    <t>Acres of land to be graded.</t>
  </si>
  <si>
    <t>Acres of compacted land to be ripped.</t>
  </si>
  <si>
    <t>Acres of revegetation or landscaping.</t>
  </si>
  <si>
    <t>If no specific provision is shown in the Plan of Operations to otherwise exclude livestock from the area.</t>
  </si>
  <si>
    <t>Acres to be controlled for noxious weeds.</t>
  </si>
  <si>
    <t>Cost to crush any material containing asphalt that is stockpiled or stored onsite.</t>
  </si>
  <si>
    <t>Highwall</t>
  </si>
  <si>
    <t>Compaction %</t>
  </si>
  <si>
    <t>Grading</t>
  </si>
  <si>
    <t>Ripping</t>
  </si>
  <si>
    <t>Revegetation</t>
  </si>
  <si>
    <t>Cost to Purchase Soil</t>
  </si>
  <si>
    <t>Crush Asphalt</t>
  </si>
  <si>
    <t>Weed Control</t>
  </si>
  <si>
    <t>Highwall Description</t>
  </si>
  <si>
    <t>Cost to purchase and import soil when the permitted amount was not saved by the Operator.</t>
  </si>
  <si>
    <t>Other possible line item costs such as facility and structure removal, onsite earthmoving across distances, specialized seeding or application, etc.</t>
  </si>
  <si>
    <t>Other (blank)</t>
  </si>
  <si>
    <t>Reject Fines</t>
  </si>
  <si>
    <t>Cost to bond reject fines when volume exceeds 10,000 cubic yards stored onsite.</t>
  </si>
  <si>
    <t>Highwall Backfill &amp; Mine Area Backfill</t>
  </si>
  <si>
    <t>reclamation slope ratio</t>
  </si>
  <si>
    <t>**The Total Bonded Area must be identical to the acreage on the Bond submitted by the Operator to the Department.</t>
  </si>
  <si>
    <t>Cost to import, purchase and place soil</t>
  </si>
  <si>
    <t>Cost to bond for reject fines</t>
  </si>
  <si>
    <t xml:space="preserve">      Total Bond =</t>
  </si>
  <si>
    <r>
      <t>Operator Name:</t>
    </r>
    <r>
      <rPr>
        <sz val="11"/>
        <rFont val="Arial"/>
        <family val="2"/>
      </rPr>
      <t xml:space="preserve"> </t>
    </r>
  </si>
  <si>
    <r>
      <t>Site Name:</t>
    </r>
    <r>
      <rPr>
        <sz val="11"/>
        <rFont val="Arial"/>
        <family val="2"/>
      </rPr>
      <t xml:space="preserve"> </t>
    </r>
  </si>
  <si>
    <t>Indirect Reclamation costs to DEQ (Mob/DeMob, Contingency, Engineering, Overhead, &amp; Project Management) = 25%</t>
  </si>
  <si>
    <t>up to $1,000,000 bond and 20% for a bond over $1,000,000.  Minimum Bond Amount is $25,000</t>
  </si>
  <si>
    <t>Total =</t>
  </si>
  <si>
    <t>*Must match the "Total Permitted Acres" in Section A1 of the Opencut Mining</t>
  </si>
  <si>
    <t xml:space="preserve"> Permit Application.</t>
  </si>
  <si>
    <t>Must match the  "Acreage Breakdown" in section A1 of the Opencut Mining</t>
  </si>
  <si>
    <t>Permit Application.</t>
  </si>
  <si>
    <t xml:space="preserve">Lineal Feet &amp; Height must match the parameters within the Opencut Mining Permit Application </t>
  </si>
  <si>
    <t xml:space="preserve">Highwall Cut/Fill  </t>
  </si>
  <si>
    <r>
      <rPr>
        <b/>
        <sz val="10"/>
        <rFont val="Arial"/>
        <family val="2"/>
      </rPr>
      <t xml:space="preserve">Highwall Backfill </t>
    </r>
    <r>
      <rPr>
        <sz val="10"/>
        <rFont val="Arial"/>
        <family val="2"/>
      </rPr>
      <t xml:space="preserve">- Covers cost of grading &amp; sloping fill material along highwall face to create the permitted slope.  Must also complete </t>
    </r>
    <r>
      <rPr>
        <b/>
        <sz val="10"/>
        <rFont val="Arial"/>
        <family val="2"/>
      </rPr>
      <t>Backfill Transport/Placement</t>
    </r>
    <r>
      <rPr>
        <sz val="10"/>
        <rFont val="Arial"/>
        <family val="2"/>
      </rPr>
      <t xml:space="preserve"> line item below.</t>
    </r>
    <r>
      <rPr>
        <b/>
        <sz val="10"/>
        <rFont val="Arial"/>
        <family val="2"/>
      </rPr>
      <t xml:space="preserve"> </t>
    </r>
  </si>
  <si>
    <r>
      <t xml:space="preserve">Mine Area Backfill - </t>
    </r>
    <r>
      <rPr>
        <sz val="10"/>
        <rFont val="Arial"/>
        <family val="2"/>
      </rPr>
      <t xml:space="preserve">Covers the cost of placing backfill material in the pit or to raise the level of the pit floor.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Must also complete </t>
    </r>
    <r>
      <rPr>
        <b/>
        <sz val="10"/>
        <rFont val="Arial"/>
        <family val="2"/>
      </rPr>
      <t>Backfill Transport/Placement</t>
    </r>
    <r>
      <rPr>
        <sz val="10"/>
        <rFont val="Arial"/>
        <family val="2"/>
      </rPr>
      <t xml:space="preserve"> line item below. </t>
    </r>
  </si>
  <si>
    <t xml:space="preserve">* Soil and overburden inches must match section C2.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</si>
</sst>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0.0"/>
    <numFmt numFmtId="166" formatCode="&quot;$&quot;#,##0"/>
    <numFmt numFmtId="167" formatCode="#,##0.0"/>
  </numFmts>
  <fonts count="16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.5"/>
      <color rgb="FF0000FF"/>
      <name val="Times New Roman"/>
      <family val="1"/>
    </font>
    <font>
      <b/>
      <sz val="10.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2" borderId="0" xfId="0" applyFill="1" applyBorder="1" applyProtection="1"/>
    <xf numFmtId="0" fontId="0" fillId="0" borderId="0" xfId="0" applyBorder="1" applyProtection="1"/>
    <xf numFmtId="0" fontId="0" fillId="0" borderId="1" xfId="0" applyBorder="1" applyProtection="1"/>
    <xf numFmtId="6" fontId="0" fillId="0" borderId="0" xfId="0" applyNumberFormat="1" applyBorder="1" applyProtection="1"/>
    <xf numFmtId="1" fontId="0" fillId="0" borderId="0" xfId="0" applyNumberFormat="1" applyBorder="1" applyProtection="1"/>
    <xf numFmtId="165" fontId="0" fillId="0" borderId="0" xfId="0" applyNumberFormat="1" applyBorder="1" applyProtection="1"/>
    <xf numFmtId="0" fontId="0" fillId="0" borderId="0" xfId="0" applyBorder="1"/>
    <xf numFmtId="0" fontId="0" fillId="0" borderId="1" xfId="0" applyBorder="1"/>
    <xf numFmtId="0" fontId="0" fillId="0" borderId="0" xfId="0" applyFill="1" applyBorder="1" applyProtection="1"/>
    <xf numFmtId="1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2" xfId="0" applyBorder="1" applyProtection="1"/>
    <xf numFmtId="1" fontId="0" fillId="2" borderId="2" xfId="0" applyNumberFormat="1" applyFill="1" applyBorder="1" applyAlignment="1" applyProtection="1">
      <alignment horizontal="center"/>
    </xf>
    <xf numFmtId="3" fontId="0" fillId="3" borderId="2" xfId="0" applyNumberFormat="1" applyFill="1" applyBorder="1" applyAlignment="1" applyProtection="1">
      <alignment horizontal="center"/>
      <protection locked="0"/>
    </xf>
    <xf numFmtId="167" fontId="0" fillId="3" borderId="2" xfId="0" applyNumberFormat="1" applyFill="1" applyBorder="1" applyAlignment="1" applyProtection="1">
      <alignment horizontal="center"/>
      <protection locked="0"/>
    </xf>
    <xf numFmtId="3" fontId="0" fillId="0" borderId="2" xfId="0" applyNumberFormat="1" applyBorder="1" applyAlignment="1">
      <alignment horizontal="center"/>
    </xf>
    <xf numFmtId="3" fontId="0" fillId="0" borderId="0" xfId="0" applyNumberFormat="1" applyBorder="1"/>
    <xf numFmtId="167" fontId="0" fillId="0" borderId="2" xfId="0" applyNumberFormat="1" applyBorder="1" applyAlignment="1" applyProtection="1">
      <alignment horizontal="center"/>
    </xf>
    <xf numFmtId="3" fontId="0" fillId="0" borderId="2" xfId="0" applyNumberFormat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 applyProtection="1">
      <alignment horizontal="center"/>
      <protection locked="0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Border="1" applyAlignment="1" applyProtection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 applyProtection="1">
      <alignment horizontal="center"/>
    </xf>
    <xf numFmtId="3" fontId="0" fillId="2" borderId="2" xfId="0" applyNumberFormat="1" applyFill="1" applyBorder="1" applyProtection="1"/>
    <xf numFmtId="0" fontId="1" fillId="0" borderId="1" xfId="0" applyFont="1" applyBorder="1"/>
    <xf numFmtId="0" fontId="0" fillId="2" borderId="1" xfId="0" applyFill="1" applyBorder="1" applyProtection="1"/>
    <xf numFmtId="6" fontId="0" fillId="0" borderId="0" xfId="0" applyNumberFormat="1" applyFill="1" applyBorder="1" applyProtection="1"/>
    <xf numFmtId="0" fontId="0" fillId="0" borderId="3" xfId="0" applyBorder="1" applyAlignment="1">
      <alignment horizontal="center"/>
    </xf>
    <xf numFmtId="3" fontId="0" fillId="0" borderId="3" xfId="0" applyNumberFormat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3" fontId="0" fillId="0" borderId="0" xfId="0" applyNumberFormat="1" applyBorder="1" applyProtection="1"/>
    <xf numFmtId="0" fontId="2" fillId="0" borderId="0" xfId="0" applyFont="1" applyBorder="1"/>
    <xf numFmtId="0" fontId="1" fillId="0" borderId="0" xfId="0" applyFont="1" applyBorder="1"/>
    <xf numFmtId="49" fontId="0" fillId="0" borderId="0" xfId="0" applyNumberFormat="1" applyBorder="1" applyAlignment="1">
      <alignment horizontal="right"/>
    </xf>
    <xf numFmtId="0" fontId="5" fillId="0" borderId="1" xfId="0" applyFont="1" applyBorder="1"/>
    <xf numFmtId="165" fontId="0" fillId="2" borderId="6" xfId="0" applyNumberForma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right" vertical="center" wrapText="1"/>
    </xf>
    <xf numFmtId="14" fontId="5" fillId="0" borderId="1" xfId="0" applyNumberFormat="1" applyFont="1" applyFill="1" applyBorder="1" applyAlignment="1" applyProtection="1">
      <alignment horizontal="right" vertical="center" wrapText="1"/>
    </xf>
    <xf numFmtId="0" fontId="0" fillId="0" borderId="4" xfId="0" applyFill="1" applyBorder="1" applyAlignment="1" applyProtection="1">
      <alignment horizontal="center"/>
    </xf>
    <xf numFmtId="3" fontId="0" fillId="0" borderId="0" xfId="0" applyNumberForma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7" xfId="0" applyBorder="1"/>
    <xf numFmtId="0" fontId="0" fillId="0" borderId="8" xfId="0" applyBorder="1"/>
    <xf numFmtId="0" fontId="7" fillId="0" borderId="0" xfId="0" applyFont="1" applyBorder="1" applyProtection="1"/>
    <xf numFmtId="0" fontId="7" fillId="0" borderId="1" xfId="0" applyFont="1" applyBorder="1" applyProtection="1"/>
    <xf numFmtId="0" fontId="7" fillId="0" borderId="9" xfId="0" applyFont="1" applyBorder="1" applyAlignment="1" applyProtection="1">
      <alignment horizontal="right"/>
    </xf>
    <xf numFmtId="0" fontId="7" fillId="0" borderId="1" xfId="0" applyFont="1" applyBorder="1" applyAlignment="1">
      <alignment horizontal="right"/>
    </xf>
    <xf numFmtId="164" fontId="0" fillId="0" borderId="6" xfId="0" applyNumberFormat="1" applyBorder="1" applyAlignment="1" applyProtection="1"/>
    <xf numFmtId="0" fontId="1" fillId="0" borderId="1" xfId="0" applyFont="1" applyBorder="1" applyAlignment="1" applyProtection="1">
      <alignment horizontal="right"/>
    </xf>
    <xf numFmtId="165" fontId="0" fillId="0" borderId="0" xfId="0" applyNumberFormat="1" applyFill="1" applyBorder="1" applyAlignment="1" applyProtection="1">
      <alignment horizontal="center"/>
    </xf>
    <xf numFmtId="0" fontId="5" fillId="0" borderId="10" xfId="0" applyFont="1" applyBorder="1" applyAlignment="1" applyProtection="1">
      <alignment horizontal="right"/>
    </xf>
    <xf numFmtId="0" fontId="5" fillId="0" borderId="1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/>
    </xf>
    <xf numFmtId="0" fontId="8" fillId="0" borderId="0" xfId="0" applyFont="1" applyFill="1" applyBorder="1" applyProtection="1"/>
    <xf numFmtId="0" fontId="1" fillId="0" borderId="0" xfId="0" applyFont="1" applyBorder="1" applyProtection="1"/>
    <xf numFmtId="0" fontId="1" fillId="0" borderId="0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10" fillId="0" borderId="1" xfId="0" applyFont="1" applyBorder="1"/>
    <xf numFmtId="0" fontId="10" fillId="0" borderId="0" xfId="0" applyFont="1" applyFill="1" applyBorder="1" applyProtection="1"/>
    <xf numFmtId="0" fontId="10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1" fillId="0" borderId="0" xfId="0" applyFont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11" xfId="0" applyBorder="1"/>
    <xf numFmtId="0" fontId="4" fillId="0" borderId="12" xfId="0" applyFont="1" applyBorder="1" applyAlignment="1">
      <alignment horizontal="center"/>
    </xf>
    <xf numFmtId="0" fontId="0" fillId="0" borderId="12" xfId="0" applyBorder="1" applyProtection="1"/>
    <xf numFmtId="0" fontId="0" fillId="0" borderId="12" xfId="0" applyBorder="1" applyAlignment="1">
      <alignment horizontal="left" wrapText="1"/>
    </xf>
    <xf numFmtId="0" fontId="0" fillId="0" borderId="12" xfId="0" applyBorder="1"/>
    <xf numFmtId="0" fontId="0" fillId="0" borderId="12" xfId="0" applyBorder="1" applyAlignment="1" applyProtection="1">
      <alignment horizontal="center"/>
    </xf>
    <xf numFmtId="1" fontId="0" fillId="0" borderId="13" xfId="0" applyNumberFormat="1" applyBorder="1" applyAlignment="1" applyProtection="1">
      <alignment horizontal="center"/>
    </xf>
    <xf numFmtId="166" fontId="0" fillId="0" borderId="12" xfId="0" applyNumberFormat="1" applyBorder="1" applyProtection="1"/>
    <xf numFmtId="166" fontId="0" fillId="0" borderId="12" xfId="0" applyNumberFormat="1" applyBorder="1" applyAlignment="1" applyProtection="1">
      <alignment horizontal="right"/>
    </xf>
    <xf numFmtId="166" fontId="0" fillId="0" borderId="12" xfId="0" applyNumberFormat="1" applyFill="1" applyBorder="1" applyAlignment="1" applyProtection="1">
      <alignment horizontal="right"/>
    </xf>
    <xf numFmtId="0" fontId="0" fillId="0" borderId="9" xfId="0" applyBorder="1"/>
    <xf numFmtId="0" fontId="0" fillId="0" borderId="10" xfId="0" applyBorder="1"/>
    <xf numFmtId="0" fontId="0" fillId="0" borderId="15" xfId="0" applyBorder="1"/>
    <xf numFmtId="49" fontId="0" fillId="0" borderId="1" xfId="0" applyNumberFormat="1" applyBorder="1" applyAlignment="1">
      <alignment horizontal="right"/>
    </xf>
    <xf numFmtId="0" fontId="7" fillId="2" borderId="12" xfId="0" applyFont="1" applyFill="1" applyBorder="1" applyAlignment="1" applyProtection="1">
      <alignment horizontal="center"/>
    </xf>
    <xf numFmtId="0" fontId="12" fillId="0" borderId="1" xfId="0" applyFont="1" applyBorder="1" applyAlignment="1" applyProtection="1">
      <alignment horizontal="right"/>
    </xf>
    <xf numFmtId="0" fontId="7" fillId="0" borderId="0" xfId="0" applyFont="1" applyBorder="1"/>
    <xf numFmtId="0" fontId="7" fillId="0" borderId="0" xfId="0" applyFont="1" applyFill="1" applyBorder="1" applyProtection="1"/>
    <xf numFmtId="6" fontId="7" fillId="0" borderId="0" xfId="0" applyNumberFormat="1" applyFont="1" applyFill="1" applyBorder="1" applyProtection="1"/>
    <xf numFmtId="0" fontId="7" fillId="0" borderId="0" xfId="0" applyFont="1" applyFill="1" applyBorder="1" applyProtection="1">
      <protection locked="0"/>
    </xf>
    <xf numFmtId="6" fontId="0" fillId="0" borderId="0" xfId="0" applyNumberFormat="1" applyFill="1" applyBorder="1" applyProtection="1">
      <protection locked="0"/>
    </xf>
    <xf numFmtId="6" fontId="7" fillId="0" borderId="0" xfId="0" applyNumberFormat="1" applyFont="1" applyFill="1" applyBorder="1" applyProtection="1">
      <protection locked="0"/>
    </xf>
    <xf numFmtId="0" fontId="7" fillId="0" borderId="0" xfId="0" applyFont="1" applyBorder="1" applyAlignment="1" applyProtection="1">
      <alignment horizontal="left"/>
    </xf>
    <xf numFmtId="0" fontId="0" fillId="0" borderId="16" xfId="0" applyBorder="1" applyProtection="1"/>
    <xf numFmtId="166" fontId="5" fillId="0" borderId="14" xfId="0" applyNumberFormat="1" applyFont="1" applyBorder="1" applyAlignment="1" applyProtection="1">
      <alignment horizontal="right"/>
    </xf>
    <xf numFmtId="165" fontId="0" fillId="0" borderId="2" xfId="0" applyNumberFormat="1" applyFill="1" applyBorder="1" applyProtection="1"/>
    <xf numFmtId="0" fontId="7" fillId="0" borderId="1" xfId="0" applyFont="1" applyBorder="1" applyAlignment="1" applyProtection="1">
      <alignment horizontal="right"/>
    </xf>
    <xf numFmtId="0" fontId="7" fillId="0" borderId="1" xfId="0" applyFont="1" applyFill="1" applyBorder="1" applyAlignment="1" applyProtection="1">
      <alignment horizontal="right"/>
    </xf>
    <xf numFmtId="0" fontId="1" fillId="0" borderId="1" xfId="0" applyFont="1" applyBorder="1" applyProtection="1"/>
    <xf numFmtId="0" fontId="1" fillId="0" borderId="3" xfId="0" applyFont="1" applyBorder="1" applyAlignment="1">
      <alignment horizontal="center"/>
    </xf>
    <xf numFmtId="8" fontId="0" fillId="0" borderId="0" xfId="0" applyNumberFormat="1" applyBorder="1" applyProtection="1"/>
    <xf numFmtId="6" fontId="7" fillId="0" borderId="0" xfId="0" applyNumberFormat="1" applyFont="1" applyBorder="1" applyProtection="1"/>
    <xf numFmtId="0" fontId="7" fillId="0" borderId="0" xfId="0" quotePrefix="1" applyFont="1" applyBorder="1"/>
    <xf numFmtId="49" fontId="7" fillId="0" borderId="0" xfId="0" quotePrefix="1" applyNumberFormat="1" applyFont="1" applyBorder="1" applyProtection="1"/>
    <xf numFmtId="0" fontId="11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Fill="1" applyBorder="1"/>
    <xf numFmtId="0" fontId="7" fillId="0" borderId="0" xfId="0" applyFont="1" applyBorder="1" applyProtection="1">
      <protection locked="0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13" fillId="0" borderId="0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7" fontId="0" fillId="3" borderId="0" xfId="0" applyNumberForma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165" fontId="14" fillId="4" borderId="2" xfId="0" applyNumberFormat="1" applyFont="1" applyFill="1" applyBorder="1" applyAlignment="1" applyProtection="1">
      <alignment horizontal="center" vertical="center"/>
      <protection locked="0"/>
    </xf>
    <xf numFmtId="165" fontId="14" fillId="0" borderId="2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/>
    </xf>
    <xf numFmtId="0" fontId="7" fillId="0" borderId="1" xfId="0" applyFont="1" applyBorder="1" applyAlignment="1" applyProtection="1">
      <alignment horizontal="left"/>
    </xf>
    <xf numFmtId="6" fontId="0" fillId="0" borderId="0" xfId="0" applyNumberForma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right" vertical="center"/>
    </xf>
    <xf numFmtId="0" fontId="14" fillId="4" borderId="4" xfId="0" applyFont="1" applyFill="1" applyBorder="1" applyAlignment="1" applyProtection="1">
      <alignment horizontal="left" vertical="center"/>
      <protection locked="0"/>
    </xf>
    <xf numFmtId="0" fontId="14" fillId="4" borderId="17" xfId="0" applyFont="1" applyFill="1" applyBorder="1" applyAlignment="1" applyProtection="1">
      <alignment horizontal="left" vertical="center"/>
      <protection locked="0"/>
    </xf>
    <xf numFmtId="0" fontId="14" fillId="4" borderId="1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10" fillId="0" borderId="1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left"/>
    </xf>
    <xf numFmtId="0" fontId="10" fillId="0" borderId="21" xfId="0" applyFont="1" applyFill="1" applyBorder="1" applyAlignment="1" applyProtection="1">
      <alignment horizontal="left"/>
    </xf>
    <xf numFmtId="14" fontId="14" fillId="0" borderId="4" xfId="0" applyNumberFormat="1" applyFont="1" applyFill="1" applyBorder="1" applyAlignment="1" applyProtection="1">
      <alignment horizontal="left" vertical="center"/>
    </xf>
    <xf numFmtId="14" fontId="14" fillId="0" borderId="17" xfId="0" applyNumberFormat="1" applyFont="1" applyFill="1" applyBorder="1" applyAlignment="1" applyProtection="1">
      <alignment horizontal="left" vertical="center"/>
    </xf>
    <xf numFmtId="14" fontId="14" fillId="0" borderId="18" xfId="0" applyNumberFormat="1" applyFont="1" applyFill="1" applyBorder="1" applyAlignment="1" applyProtection="1">
      <alignment horizontal="left" vertical="center"/>
    </xf>
    <xf numFmtId="0" fontId="7" fillId="0" borderId="19" xfId="0" applyFont="1" applyBorder="1" applyAlignment="1" applyProtection="1">
      <alignment horizontal="right"/>
    </xf>
    <xf numFmtId="0" fontId="7" fillId="0" borderId="10" xfId="0" applyFont="1" applyBorder="1" applyAlignment="1" applyProtection="1">
      <alignment horizontal="right"/>
    </xf>
    <xf numFmtId="0" fontId="7" fillId="0" borderId="28" xfId="0" applyFont="1" applyBorder="1" applyAlignment="1" applyProtection="1">
      <alignment horizontal="right"/>
    </xf>
    <xf numFmtId="0" fontId="9" fillId="0" borderId="1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14" fillId="4" borderId="4" xfId="0" applyFont="1" applyFill="1" applyBorder="1" applyAlignment="1" applyProtection="1">
      <alignment horizontal="center" vertical="center"/>
      <protection locked="0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4" fillId="4" borderId="18" xfId="0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/>
    </xf>
    <xf numFmtId="0" fontId="0" fillId="0" borderId="20" xfId="0" applyBorder="1" applyAlignment="1"/>
    <xf numFmtId="0" fontId="1" fillId="0" borderId="20" xfId="0" applyFont="1" applyBorder="1" applyAlignment="1" applyProtection="1">
      <alignment horizontal="center"/>
    </xf>
    <xf numFmtId="0" fontId="1" fillId="0" borderId="20" xfId="0" applyFont="1" applyBorder="1" applyAlignment="1"/>
    <xf numFmtId="0" fontId="0" fillId="0" borderId="1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right"/>
    </xf>
    <xf numFmtId="0" fontId="0" fillId="2" borderId="21" xfId="0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right"/>
    </xf>
    <xf numFmtId="0" fontId="0" fillId="0" borderId="20" xfId="0" applyBorder="1" applyAlignment="1" applyProtection="1">
      <alignment horizontal="right"/>
    </xf>
    <xf numFmtId="0" fontId="7" fillId="0" borderId="1" xfId="0" applyFont="1" applyFill="1" applyBorder="1" applyAlignment="1" applyProtection="1">
      <alignment horizontal="left" wrapText="1"/>
    </xf>
    <xf numFmtId="0" fontId="7" fillId="0" borderId="0" xfId="0" applyFont="1" applyFill="1" applyBorder="1" applyAlignment="1" applyProtection="1">
      <alignment horizontal="left" wrapText="1"/>
    </xf>
    <xf numFmtId="0" fontId="7" fillId="0" borderId="12" xfId="0" applyFont="1" applyFill="1" applyBorder="1" applyAlignment="1" applyProtection="1">
      <alignment horizontal="left" wrapText="1"/>
    </xf>
    <xf numFmtId="0" fontId="7" fillId="0" borderId="1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7" fillId="0" borderId="12" xfId="0" quotePrefix="1" applyFont="1" applyBorder="1" applyAlignment="1">
      <alignment horizontal="left"/>
    </xf>
    <xf numFmtId="49" fontId="7" fillId="0" borderId="0" xfId="0" quotePrefix="1" applyNumberFormat="1" applyFont="1" applyBorder="1" applyAlignment="1" applyProtection="1">
      <alignment horizontal="left"/>
    </xf>
    <xf numFmtId="49" fontId="7" fillId="0" borderId="12" xfId="0" quotePrefix="1" applyNumberFormat="1" applyFont="1" applyBorder="1" applyAlignment="1" applyProtection="1">
      <alignment horizontal="left"/>
    </xf>
    <xf numFmtId="0" fontId="7" fillId="0" borderId="0" xfId="0" quotePrefix="1" applyFont="1" applyBorder="1" applyAlignment="1" applyProtection="1">
      <alignment horizontal="left"/>
    </xf>
    <xf numFmtId="0" fontId="0" fillId="0" borderId="0" xfId="0" quotePrefix="1" applyBorder="1" applyAlignment="1" applyProtection="1">
      <alignment horizontal="left"/>
    </xf>
    <xf numFmtId="0" fontId="0" fillId="0" borderId="12" xfId="0" quotePrefix="1" applyBorder="1" applyAlignment="1" applyProtection="1">
      <alignment horizontal="left"/>
    </xf>
    <xf numFmtId="0" fontId="0" fillId="0" borderId="0" xfId="0" quotePrefix="1" applyBorder="1" applyAlignment="1">
      <alignment horizontal="left"/>
    </xf>
    <xf numFmtId="0" fontId="0" fillId="0" borderId="12" xfId="0" quotePrefix="1" applyBorder="1" applyAlignment="1">
      <alignment horizontal="left"/>
    </xf>
    <xf numFmtId="0" fontId="7" fillId="0" borderId="0" xfId="0" quotePrefix="1" applyFont="1" applyBorder="1" applyAlignment="1" applyProtection="1">
      <alignment horizontal="left" wrapText="1"/>
      <protection locked="0"/>
    </xf>
    <xf numFmtId="0" fontId="7" fillId="0" borderId="12" xfId="0" quotePrefix="1" applyFont="1" applyBorder="1" applyAlignment="1" applyProtection="1">
      <alignment horizontal="left" wrapText="1"/>
      <protection locked="0"/>
    </xf>
    <xf numFmtId="49" fontId="7" fillId="0" borderId="0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12" xfId="0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7" fillId="0" borderId="21" xfId="0" applyFont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 wrapText="1"/>
    </xf>
    <xf numFmtId="0" fontId="1" fillId="0" borderId="0" xfId="0" applyFont="1" applyFill="1" applyBorder="1" applyAlignment="1" applyProtection="1">
      <alignment horizontal="left" wrapText="1"/>
    </xf>
    <xf numFmtId="0" fontId="1" fillId="0" borderId="12" xfId="0" applyFont="1" applyFill="1" applyBorder="1" applyAlignment="1" applyProtection="1">
      <alignment horizontal="left" wrapText="1"/>
    </xf>
    <xf numFmtId="0" fontId="14" fillId="4" borderId="22" xfId="0" applyFont="1" applyFill="1" applyBorder="1" applyAlignment="1" applyProtection="1">
      <alignment horizontal="left" vertical="top" wrapText="1"/>
      <protection locked="0"/>
    </xf>
    <xf numFmtId="0" fontId="14" fillId="4" borderId="23" xfId="0" applyFont="1" applyFill="1" applyBorder="1" applyAlignment="1" applyProtection="1">
      <alignment horizontal="left" vertical="top" wrapText="1"/>
      <protection locked="0"/>
    </xf>
    <xf numFmtId="0" fontId="14" fillId="4" borderId="24" xfId="0" applyFont="1" applyFill="1" applyBorder="1" applyAlignment="1" applyProtection="1">
      <alignment horizontal="left" vertical="top" wrapText="1"/>
      <protection locked="0"/>
    </xf>
    <xf numFmtId="0" fontId="14" fillId="4" borderId="25" xfId="0" applyFont="1" applyFill="1" applyBorder="1" applyAlignment="1" applyProtection="1">
      <alignment horizontal="left" vertical="top" wrapText="1"/>
      <protection locked="0"/>
    </xf>
    <xf numFmtId="0" fontId="14" fillId="4" borderId="0" xfId="0" applyFont="1" applyFill="1" applyBorder="1" applyAlignment="1" applyProtection="1">
      <alignment horizontal="left" vertical="top" wrapText="1"/>
      <protection locked="0"/>
    </xf>
    <xf numFmtId="0" fontId="14" fillId="4" borderId="12" xfId="0" applyFont="1" applyFill="1" applyBorder="1" applyAlignment="1" applyProtection="1">
      <alignment horizontal="left" vertical="top" wrapText="1"/>
      <protection locked="0"/>
    </xf>
    <xf numFmtId="0" fontId="14" fillId="4" borderId="26" xfId="0" applyFont="1" applyFill="1" applyBorder="1" applyAlignment="1" applyProtection="1">
      <alignment horizontal="left" vertical="top" wrapText="1"/>
      <protection locked="0"/>
    </xf>
    <xf numFmtId="0" fontId="14" fillId="4" borderId="20" xfId="0" applyFont="1" applyFill="1" applyBorder="1" applyAlignment="1" applyProtection="1">
      <alignment horizontal="left" vertical="top" wrapText="1"/>
      <protection locked="0"/>
    </xf>
    <xf numFmtId="0" fontId="14" fillId="4" borderId="27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7" fillId="0" borderId="12" xfId="0" quotePrefix="1" applyFont="1" applyBorder="1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333375</xdr:colOff>
      <xdr:row>47</xdr:row>
      <xdr:rowOff>66675</xdr:rowOff>
    </xdr:from>
    <xdr:ext cx="18531" cy="318036"/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8542193" y="8535266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20</xdr:col>
      <xdr:colOff>1275</xdr:colOff>
      <xdr:row>38</xdr:row>
      <xdr:rowOff>143995</xdr:rowOff>
    </xdr:from>
    <xdr:ext cx="909352" cy="170560"/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6903820" y="7053950"/>
          <a:ext cx="909352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Permitted slope</a:t>
          </a:r>
        </a:p>
      </xdr:txBody>
    </xdr:sp>
    <xdr:clientData/>
  </xdr:oneCellAnchor>
  <xdr:oneCellAnchor>
    <xdr:from>
      <xdr:col>20</xdr:col>
      <xdr:colOff>333375</xdr:colOff>
      <xdr:row>46</xdr:row>
      <xdr:rowOff>66675</xdr:rowOff>
    </xdr:from>
    <xdr:ext cx="18531" cy="318036"/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7235920" y="836208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19</xdr:col>
      <xdr:colOff>303679</xdr:colOff>
      <xdr:row>47</xdr:row>
      <xdr:rowOff>22412</xdr:rowOff>
    </xdr:from>
    <xdr:to>
      <xdr:col>19</xdr:col>
      <xdr:colOff>770404</xdr:colOff>
      <xdr:row>48</xdr:row>
      <xdr:rowOff>98612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6809944" y="8146677"/>
          <a:ext cx="466725" cy="2442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backfill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18</xdr:col>
      <xdr:colOff>285750</xdr:colOff>
      <xdr:row>36</xdr:row>
      <xdr:rowOff>152400</xdr:rowOff>
    </xdr:from>
    <xdr:to>
      <xdr:col>19</xdr:col>
      <xdr:colOff>962025</xdr:colOff>
      <xdr:row>36</xdr:row>
      <xdr:rowOff>152400</xdr:rowOff>
    </xdr:to>
    <xdr:sp macro="" textlink="">
      <xdr:nvSpPr>
        <xdr:cNvPr id="2667" name="Line 70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ShapeType="1"/>
        </xdr:cNvSpPr>
      </xdr:nvSpPr>
      <xdr:spPr bwMode="auto">
        <a:xfrm flipH="1">
          <a:off x="15506700" y="6657975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962025</xdr:colOff>
      <xdr:row>36</xdr:row>
      <xdr:rowOff>152400</xdr:rowOff>
    </xdr:from>
    <xdr:to>
      <xdr:col>19</xdr:col>
      <xdr:colOff>962025</xdr:colOff>
      <xdr:row>41</xdr:row>
      <xdr:rowOff>114300</xdr:rowOff>
    </xdr:to>
    <xdr:sp macro="" textlink="">
      <xdr:nvSpPr>
        <xdr:cNvPr id="2668" name="Line 71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ShapeType="1"/>
        </xdr:cNvSpPr>
      </xdr:nvSpPr>
      <xdr:spPr bwMode="auto">
        <a:xfrm>
          <a:off x="16706850" y="6657975"/>
          <a:ext cx="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19</xdr:col>
      <xdr:colOff>504825</xdr:colOff>
      <xdr:row>35</xdr:row>
      <xdr:rowOff>38100</xdr:rowOff>
    </xdr:from>
    <xdr:ext cx="481670" cy="170560"/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6249090" y="6145306"/>
          <a:ext cx="481670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highwall</a:t>
          </a:r>
        </a:p>
      </xdr:txBody>
    </xdr:sp>
    <xdr:clientData/>
  </xdr:oneCellAnchor>
  <xdr:oneCellAnchor>
    <xdr:from>
      <xdr:col>19</xdr:col>
      <xdr:colOff>590550</xdr:colOff>
      <xdr:row>37</xdr:row>
      <xdr:rowOff>47625</xdr:rowOff>
    </xdr:from>
    <xdr:ext cx="189539" cy="170560"/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6298141" y="6784398"/>
          <a:ext cx="189539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cut</a:t>
          </a:r>
        </a:p>
      </xdr:txBody>
    </xdr:sp>
    <xdr:clientData/>
  </xdr:oneCellAnchor>
  <xdr:oneCellAnchor>
    <xdr:from>
      <xdr:col>19</xdr:col>
      <xdr:colOff>1181100</xdr:colOff>
      <xdr:row>40</xdr:row>
      <xdr:rowOff>38100</xdr:rowOff>
    </xdr:from>
    <xdr:ext cx="139525" cy="170560"/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6888691" y="7294418"/>
          <a:ext cx="139525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fill</a:t>
          </a:r>
        </a:p>
      </xdr:txBody>
    </xdr:sp>
    <xdr:clientData/>
  </xdr:oneCellAnchor>
  <xdr:twoCellAnchor>
    <xdr:from>
      <xdr:col>18</xdr:col>
      <xdr:colOff>495300</xdr:colOff>
      <xdr:row>36</xdr:row>
      <xdr:rowOff>152400</xdr:rowOff>
    </xdr:from>
    <xdr:to>
      <xdr:col>21</xdr:col>
      <xdr:colOff>266700</xdr:colOff>
      <xdr:row>41</xdr:row>
      <xdr:rowOff>114300</xdr:rowOff>
    </xdr:to>
    <xdr:sp macro="" textlink="">
      <xdr:nvSpPr>
        <xdr:cNvPr id="2672" name="Line 76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ShapeType="1"/>
        </xdr:cNvSpPr>
      </xdr:nvSpPr>
      <xdr:spPr bwMode="auto">
        <a:xfrm>
          <a:off x="15716250" y="6657975"/>
          <a:ext cx="210502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971550</xdr:colOff>
      <xdr:row>41</xdr:row>
      <xdr:rowOff>114300</xdr:rowOff>
    </xdr:from>
    <xdr:to>
      <xdr:col>21</xdr:col>
      <xdr:colOff>247650</xdr:colOff>
      <xdr:row>41</xdr:row>
      <xdr:rowOff>114300</xdr:rowOff>
    </xdr:to>
    <xdr:sp macro="" textlink="">
      <xdr:nvSpPr>
        <xdr:cNvPr id="2673" name="Line 77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ShapeType="1"/>
        </xdr:cNvSpPr>
      </xdr:nvSpPr>
      <xdr:spPr bwMode="auto">
        <a:xfrm flipV="1">
          <a:off x="16716375" y="7477125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485775</xdr:colOff>
      <xdr:row>46</xdr:row>
      <xdr:rowOff>57150</xdr:rowOff>
    </xdr:from>
    <xdr:to>
      <xdr:col>19</xdr:col>
      <xdr:colOff>133350</xdr:colOff>
      <xdr:row>46</xdr:row>
      <xdr:rowOff>57150</xdr:rowOff>
    </xdr:to>
    <xdr:sp macro="" textlink="">
      <xdr:nvSpPr>
        <xdr:cNvPr id="2674" name="Line 78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ShapeType="1"/>
        </xdr:cNvSpPr>
      </xdr:nvSpPr>
      <xdr:spPr bwMode="auto">
        <a:xfrm flipH="1" flipV="1">
          <a:off x="15706725" y="827722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133350</xdr:colOff>
      <xdr:row>46</xdr:row>
      <xdr:rowOff>57150</xdr:rowOff>
    </xdr:from>
    <xdr:to>
      <xdr:col>19</xdr:col>
      <xdr:colOff>133350</xdr:colOff>
      <xdr:row>48</xdr:row>
      <xdr:rowOff>114300</xdr:rowOff>
    </xdr:to>
    <xdr:sp macro="" textlink="">
      <xdr:nvSpPr>
        <xdr:cNvPr id="2675" name="Line 79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ShapeType="1"/>
        </xdr:cNvSpPr>
      </xdr:nvSpPr>
      <xdr:spPr bwMode="auto">
        <a:xfrm>
          <a:off x="15878175" y="8277225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19</xdr:col>
      <xdr:colOff>209550</xdr:colOff>
      <xdr:row>49</xdr:row>
      <xdr:rowOff>66675</xdr:rowOff>
    </xdr:from>
    <xdr:ext cx="481670" cy="170560"/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5944290" y="8527116"/>
          <a:ext cx="481670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highwall</a:t>
          </a:r>
        </a:p>
      </xdr:txBody>
    </xdr:sp>
    <xdr:clientData/>
  </xdr:oneCellAnchor>
  <xdr:oneCellAnchor>
    <xdr:from>
      <xdr:col>20</xdr:col>
      <xdr:colOff>333375</xdr:colOff>
      <xdr:row>46</xdr:row>
      <xdr:rowOff>66675</xdr:rowOff>
    </xdr:from>
    <xdr:ext cx="18531" cy="318036"/>
    <xdr:sp macro="" textlink="">
      <xdr:nvSpPr>
        <xdr:cNvPr id="1105" name="Text Box 8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7235920" y="836208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19</xdr:col>
      <xdr:colOff>123825</xdr:colOff>
      <xdr:row>46</xdr:row>
      <xdr:rowOff>57150</xdr:rowOff>
    </xdr:from>
    <xdr:to>
      <xdr:col>21</xdr:col>
      <xdr:colOff>285750</xdr:colOff>
      <xdr:row>48</xdr:row>
      <xdr:rowOff>114300</xdr:rowOff>
    </xdr:to>
    <xdr:sp macro="" textlink="">
      <xdr:nvSpPr>
        <xdr:cNvPr id="2678" name="Line 8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ShapeType="1"/>
        </xdr:cNvSpPr>
      </xdr:nvSpPr>
      <xdr:spPr bwMode="auto">
        <a:xfrm>
          <a:off x="15868650" y="8277225"/>
          <a:ext cx="1971675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133350</xdr:colOff>
      <xdr:row>48</xdr:row>
      <xdr:rowOff>114300</xdr:rowOff>
    </xdr:from>
    <xdr:to>
      <xdr:col>21</xdr:col>
      <xdr:colOff>285750</xdr:colOff>
      <xdr:row>48</xdr:row>
      <xdr:rowOff>114300</xdr:rowOff>
    </xdr:to>
    <xdr:sp macro="" textlink="">
      <xdr:nvSpPr>
        <xdr:cNvPr id="2679" name="Line 84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ShapeType="1"/>
        </xdr:cNvSpPr>
      </xdr:nvSpPr>
      <xdr:spPr bwMode="auto">
        <a:xfrm>
          <a:off x="15878175" y="8677275"/>
          <a:ext cx="1962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1028700</xdr:colOff>
      <xdr:row>35</xdr:row>
      <xdr:rowOff>104775</xdr:rowOff>
    </xdr:from>
    <xdr:to>
      <xdr:col>20</xdr:col>
      <xdr:colOff>104775</xdr:colOff>
      <xdr:row>38</xdr:row>
      <xdr:rowOff>76200</xdr:rowOff>
    </xdr:to>
    <xdr:sp macro="" textlink="">
      <xdr:nvSpPr>
        <xdr:cNvPr id="2680" name="AutoShape 85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Arrowheads="1"/>
        </xdr:cNvSpPr>
      </xdr:nvSpPr>
      <xdr:spPr bwMode="auto">
        <a:xfrm>
          <a:off x="16773525" y="6438900"/>
          <a:ext cx="276225" cy="485775"/>
        </a:xfrm>
        <a:prstGeom prst="curvedLeftArrow">
          <a:avLst>
            <a:gd name="adj1" fmla="val 14688"/>
            <a:gd name="adj2" fmla="val 36215"/>
            <a:gd name="adj3" fmla="val 3518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257175</xdr:colOff>
      <xdr:row>48</xdr:row>
      <xdr:rowOff>0</xdr:rowOff>
    </xdr:from>
    <xdr:to>
      <xdr:col>19</xdr:col>
      <xdr:colOff>76200</xdr:colOff>
      <xdr:row>50</xdr:row>
      <xdr:rowOff>28575</xdr:rowOff>
    </xdr:to>
    <xdr:sp macro="" textlink="">
      <xdr:nvSpPr>
        <xdr:cNvPr id="2681" name="AutoShape 86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Arrowheads="1"/>
        </xdr:cNvSpPr>
      </xdr:nvSpPr>
      <xdr:spPr bwMode="auto">
        <a:xfrm flipH="1" flipV="1">
          <a:off x="15478125" y="8562975"/>
          <a:ext cx="342900" cy="371475"/>
        </a:xfrm>
        <a:prstGeom prst="curvedLeftArrow">
          <a:avLst>
            <a:gd name="adj1" fmla="val 9048"/>
            <a:gd name="adj2" fmla="val 22309"/>
            <a:gd name="adj3" fmla="val 3518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19</xdr:col>
      <xdr:colOff>990600</xdr:colOff>
      <xdr:row>46</xdr:row>
      <xdr:rowOff>40902</xdr:rowOff>
    </xdr:from>
    <xdr:ext cx="909352" cy="170560"/>
    <xdr:sp macro="" textlink="">
      <xdr:nvSpPr>
        <xdr:cNvPr id="1111" name="Text Box 87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6698191" y="8336311"/>
          <a:ext cx="909352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Permitted slope</a:t>
          </a:r>
        </a:p>
      </xdr:txBody>
    </xdr:sp>
    <xdr:clientData/>
  </xdr:oneCellAnchor>
  <xdr:twoCellAnchor editAs="oneCell">
    <xdr:from>
      <xdr:col>21</xdr:col>
      <xdr:colOff>409575</xdr:colOff>
      <xdr:row>39</xdr:row>
      <xdr:rowOff>9525</xdr:rowOff>
    </xdr:from>
    <xdr:to>
      <xdr:col>28</xdr:col>
      <xdr:colOff>942975</xdr:colOff>
      <xdr:row>63</xdr:row>
      <xdr:rowOff>0</xdr:rowOff>
    </xdr:to>
    <xdr:pic>
      <xdr:nvPicPr>
        <xdr:cNvPr id="2683" name="Picture 99" descr="StockpileVolume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4150" y="7029450"/>
          <a:ext cx="4800600" cy="409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3"/>
  <sheetViews>
    <sheetView showGridLines="0" tabSelected="1" showRuler="0" view="pageLayout" topLeftCell="A2" zoomScale="115" zoomScaleNormal="100" zoomScaleSheetLayoutView="55" zoomScalePageLayoutView="115" workbookViewId="0">
      <selection activeCell="H54" sqref="H54"/>
    </sheetView>
  </sheetViews>
  <sheetFormatPr defaultRowHeight="12.75" x14ac:dyDescent="0.2"/>
  <cols>
    <col min="1" max="1" width="28.7109375" customWidth="1"/>
    <col min="2" max="4" width="9.7109375" customWidth="1"/>
    <col min="5" max="5" width="11.85546875" customWidth="1"/>
    <col min="6" max="6" width="14.5703125" customWidth="1"/>
    <col min="7" max="7" width="14.28515625" customWidth="1"/>
    <col min="8" max="8" width="15.5703125" customWidth="1"/>
    <col min="10" max="10" width="15.85546875" customWidth="1"/>
    <col min="11" max="11" width="13.5703125" customWidth="1"/>
    <col min="15" max="15" width="12.140625" customWidth="1"/>
    <col min="16" max="16" width="2.7109375" customWidth="1"/>
    <col min="17" max="17" width="18" customWidth="1"/>
    <col min="18" max="18" width="15.28515625" customWidth="1"/>
    <col min="19" max="19" width="7.85546875" customWidth="1"/>
    <col min="20" max="20" width="18" customWidth="1"/>
    <col min="29" max="29" width="15.140625" customWidth="1"/>
  </cols>
  <sheetData>
    <row r="1" spans="1:29" ht="9" customHeight="1" x14ac:dyDescent="0.2">
      <c r="A1" s="44"/>
      <c r="B1" s="45"/>
      <c r="C1" s="45"/>
      <c r="D1" s="45"/>
      <c r="E1" s="45"/>
      <c r="F1" s="45"/>
      <c r="G1" s="45"/>
      <c r="H1" s="72"/>
      <c r="I1" s="44"/>
      <c r="J1" s="45"/>
      <c r="K1" s="45"/>
      <c r="L1" s="45"/>
      <c r="M1" s="45"/>
      <c r="N1" s="45"/>
      <c r="O1" s="45"/>
      <c r="P1" s="45"/>
      <c r="Q1" s="45"/>
      <c r="R1" s="72"/>
      <c r="S1" s="44"/>
      <c r="T1" s="45"/>
      <c r="U1" s="45"/>
      <c r="V1" s="45"/>
      <c r="W1" s="45"/>
      <c r="X1" s="45"/>
      <c r="Y1" s="45"/>
      <c r="Z1" s="45"/>
      <c r="AA1" s="45"/>
      <c r="AB1" s="45"/>
      <c r="AC1" s="72"/>
    </row>
    <row r="2" spans="1:29" ht="20.25" customHeight="1" x14ac:dyDescent="0.35">
      <c r="A2" s="133" t="s">
        <v>40</v>
      </c>
      <c r="B2" s="134"/>
      <c r="C2" s="134"/>
      <c r="D2" s="134"/>
      <c r="E2" s="134"/>
      <c r="F2" s="134"/>
      <c r="G2" s="134"/>
      <c r="H2" s="135"/>
      <c r="I2" s="8"/>
      <c r="J2" s="128" t="s">
        <v>43</v>
      </c>
      <c r="K2" s="129"/>
      <c r="L2" s="129"/>
      <c r="M2" s="129"/>
      <c r="N2" s="129"/>
      <c r="O2" s="129"/>
      <c r="P2" s="129"/>
      <c r="Q2" s="129"/>
      <c r="R2" s="76"/>
      <c r="S2" s="85"/>
      <c r="T2" s="35" t="s">
        <v>60</v>
      </c>
      <c r="U2" s="7"/>
      <c r="V2" s="7"/>
      <c r="W2" s="7"/>
      <c r="X2" s="7"/>
      <c r="Y2" s="7"/>
      <c r="Z2" s="7"/>
      <c r="AA2" s="7"/>
      <c r="AB2" s="7"/>
      <c r="AC2" s="76"/>
    </row>
    <row r="3" spans="1:29" ht="12" customHeight="1" x14ac:dyDescent="0.35">
      <c r="A3" s="68"/>
      <c r="B3" s="32"/>
      <c r="C3" s="32"/>
      <c r="D3" s="32"/>
      <c r="E3" s="32"/>
      <c r="F3" s="32"/>
      <c r="G3" s="32"/>
      <c r="H3" s="73"/>
      <c r="I3" s="8"/>
      <c r="J3" s="136" t="s">
        <v>16</v>
      </c>
      <c r="K3" s="129"/>
      <c r="L3" s="129"/>
      <c r="M3" s="129"/>
      <c r="N3" s="129"/>
      <c r="O3" s="129"/>
      <c r="P3" s="129"/>
      <c r="Q3" s="129"/>
      <c r="R3" s="76"/>
      <c r="S3" s="85"/>
      <c r="T3" s="7"/>
      <c r="U3" s="7"/>
      <c r="V3" s="7"/>
      <c r="W3" s="7"/>
      <c r="X3" s="7"/>
      <c r="Y3" s="7"/>
      <c r="Z3" s="7"/>
      <c r="AA3" s="7"/>
      <c r="AB3" s="7"/>
      <c r="AC3" s="76"/>
    </row>
    <row r="4" spans="1:29" ht="15" x14ac:dyDescent="0.25">
      <c r="A4" s="37" t="s">
        <v>57</v>
      </c>
      <c r="B4" s="7"/>
      <c r="C4" s="7"/>
      <c r="D4" s="2"/>
      <c r="E4" s="2"/>
      <c r="F4" s="2"/>
      <c r="G4" s="2"/>
      <c r="H4" s="74"/>
      <c r="I4" s="8"/>
      <c r="J4" s="7"/>
      <c r="K4" s="7"/>
      <c r="L4" s="2"/>
      <c r="M4" s="2"/>
      <c r="N4" s="2"/>
      <c r="O4" s="2"/>
      <c r="P4" s="7"/>
      <c r="Q4" s="7"/>
      <c r="R4" s="76"/>
      <c r="S4" s="85" t="s">
        <v>45</v>
      </c>
      <c r="T4" s="173" t="s">
        <v>92</v>
      </c>
      <c r="U4" s="173"/>
      <c r="V4" s="173"/>
      <c r="W4" s="173"/>
      <c r="X4" s="173"/>
      <c r="Y4" s="173"/>
      <c r="Z4" s="173"/>
      <c r="AA4" s="173"/>
      <c r="AB4" s="173"/>
      <c r="AC4" s="174"/>
    </row>
    <row r="5" spans="1:29" ht="12" customHeight="1" x14ac:dyDescent="0.2">
      <c r="A5" s="8"/>
      <c r="B5" s="7"/>
      <c r="C5" s="7"/>
      <c r="D5" s="2"/>
      <c r="E5" s="2"/>
      <c r="F5" s="2"/>
      <c r="G5" s="2"/>
      <c r="H5" s="75"/>
      <c r="I5" s="8"/>
      <c r="J5" s="128" t="s">
        <v>44</v>
      </c>
      <c r="K5" s="129"/>
      <c r="L5" s="2"/>
      <c r="M5" s="137" t="s">
        <v>33</v>
      </c>
      <c r="N5" s="129"/>
      <c r="O5" s="129"/>
      <c r="P5" s="129"/>
      <c r="Q5" s="129"/>
      <c r="R5" s="76"/>
      <c r="S5" s="85" t="s">
        <v>46</v>
      </c>
      <c r="T5" s="186" t="s">
        <v>79</v>
      </c>
      <c r="U5" s="187"/>
      <c r="V5" s="187"/>
      <c r="W5" s="187"/>
      <c r="X5" s="187"/>
      <c r="Y5" s="187"/>
      <c r="Z5" s="187"/>
      <c r="AA5" s="187"/>
      <c r="AB5" s="187"/>
      <c r="AC5" s="188"/>
    </row>
    <row r="6" spans="1:29" ht="15" customHeight="1" x14ac:dyDescent="0.2">
      <c r="A6" s="39" t="s">
        <v>129</v>
      </c>
      <c r="B6" s="125"/>
      <c r="C6" s="126"/>
      <c r="D6" s="126"/>
      <c r="E6" s="126"/>
      <c r="F6" s="126"/>
      <c r="G6" s="127"/>
      <c r="H6" s="76"/>
      <c r="I6" s="8"/>
      <c r="J6" s="66" t="s">
        <v>11</v>
      </c>
      <c r="K6" s="66" t="s">
        <v>10</v>
      </c>
      <c r="L6" s="2"/>
      <c r="M6" s="7"/>
      <c r="N6" s="7"/>
      <c r="O6" s="7"/>
      <c r="P6" s="7"/>
      <c r="Q6" s="7"/>
      <c r="R6" s="76"/>
      <c r="S6" s="85"/>
      <c r="T6" s="187"/>
      <c r="U6" s="187"/>
      <c r="V6" s="187"/>
      <c r="W6" s="187"/>
      <c r="X6" s="187"/>
      <c r="Y6" s="187"/>
      <c r="Z6" s="187"/>
      <c r="AA6" s="187"/>
      <c r="AB6" s="187"/>
      <c r="AC6" s="188"/>
    </row>
    <row r="7" spans="1:29" ht="15" customHeight="1" x14ac:dyDescent="0.2">
      <c r="A7" s="39" t="s">
        <v>130</v>
      </c>
      <c r="B7" s="125"/>
      <c r="C7" s="126"/>
      <c r="D7" s="126"/>
      <c r="E7" s="126"/>
      <c r="F7" s="126"/>
      <c r="G7" s="127"/>
      <c r="H7" s="76"/>
      <c r="I7" s="8"/>
      <c r="J7" s="69"/>
      <c r="K7" s="69"/>
      <c r="L7" s="33"/>
      <c r="M7" s="64" t="s">
        <v>20</v>
      </c>
      <c r="N7" s="64" t="s">
        <v>22</v>
      </c>
      <c r="O7" s="64" t="s">
        <v>24</v>
      </c>
      <c r="P7" s="7"/>
      <c r="Q7" s="64" t="s">
        <v>26</v>
      </c>
      <c r="R7" s="76"/>
      <c r="S7" s="85" t="s">
        <v>47</v>
      </c>
      <c r="T7" s="189" t="s">
        <v>93</v>
      </c>
      <c r="U7" s="190"/>
      <c r="V7" s="190"/>
      <c r="W7" s="190"/>
      <c r="X7" s="190"/>
      <c r="Y7" s="190"/>
      <c r="Z7" s="190"/>
      <c r="AA7" s="190"/>
      <c r="AB7" s="190"/>
      <c r="AC7" s="188"/>
    </row>
    <row r="8" spans="1:29" ht="15" customHeight="1" x14ac:dyDescent="0.2">
      <c r="A8" s="40" t="s">
        <v>59</v>
      </c>
      <c r="B8" s="125"/>
      <c r="C8" s="126"/>
      <c r="D8" s="126"/>
      <c r="E8" s="126"/>
      <c r="F8" s="126"/>
      <c r="G8" s="127"/>
      <c r="H8" s="75"/>
      <c r="I8" s="8"/>
      <c r="J8" s="69" t="s">
        <v>12</v>
      </c>
      <c r="K8" s="69" t="s">
        <v>3</v>
      </c>
      <c r="L8" s="2"/>
      <c r="M8" s="64" t="s">
        <v>21</v>
      </c>
      <c r="N8" s="64" t="s">
        <v>23</v>
      </c>
      <c r="O8" s="64" t="s">
        <v>25</v>
      </c>
      <c r="P8" s="7"/>
      <c r="Q8" s="64" t="s">
        <v>27</v>
      </c>
      <c r="R8" s="76"/>
      <c r="S8" s="85"/>
      <c r="T8" s="190"/>
      <c r="U8" s="190"/>
      <c r="V8" s="190"/>
      <c r="W8" s="190"/>
      <c r="X8" s="190"/>
      <c r="Y8" s="190"/>
      <c r="Z8" s="190"/>
      <c r="AA8" s="190"/>
      <c r="AB8" s="190"/>
      <c r="AC8" s="188"/>
    </row>
    <row r="9" spans="1:29" ht="15" customHeight="1" x14ac:dyDescent="0.2">
      <c r="A9" s="40" t="s">
        <v>58</v>
      </c>
      <c r="B9" s="142">
        <f ca="1">TODAY()</f>
        <v>44446</v>
      </c>
      <c r="C9" s="143"/>
      <c r="D9" s="143"/>
      <c r="E9" s="143"/>
      <c r="F9" s="143"/>
      <c r="G9" s="144"/>
      <c r="H9" s="75"/>
      <c r="I9" s="8"/>
      <c r="J9" s="14"/>
      <c r="K9" s="18">
        <f>+J9/43560</f>
        <v>0</v>
      </c>
      <c r="L9" s="2"/>
      <c r="M9" s="15"/>
      <c r="N9" s="14"/>
      <c r="O9" s="16">
        <f>+M9*43560*N9/27</f>
        <v>0</v>
      </c>
      <c r="P9" s="17"/>
      <c r="Q9" s="16">
        <f>+O9*0.7</f>
        <v>0</v>
      </c>
      <c r="R9" s="76"/>
      <c r="S9" s="85"/>
      <c r="T9" s="65"/>
      <c r="U9" s="65"/>
      <c r="V9" s="65"/>
      <c r="W9" s="65"/>
      <c r="X9" s="65"/>
      <c r="Y9" s="65"/>
      <c r="Z9" s="65"/>
      <c r="AA9" s="65"/>
      <c r="AB9" s="65"/>
      <c r="AC9" s="76"/>
    </row>
    <row r="10" spans="1:29" ht="11.25" customHeight="1" x14ac:dyDescent="0.2">
      <c r="A10" s="3"/>
      <c r="B10" s="7"/>
      <c r="C10" s="7"/>
      <c r="D10" s="7"/>
      <c r="E10" s="7"/>
      <c r="F10" s="7"/>
      <c r="G10" s="7"/>
      <c r="H10" s="76"/>
      <c r="I10" s="8"/>
      <c r="J10" s="69"/>
      <c r="K10" s="69"/>
      <c r="L10" s="2"/>
      <c r="M10" s="7"/>
      <c r="N10" s="7"/>
      <c r="O10" s="7"/>
      <c r="P10" s="7"/>
      <c r="Q10" s="7"/>
      <c r="R10" s="76"/>
      <c r="S10" s="85"/>
      <c r="T10" s="106" t="s">
        <v>41</v>
      </c>
      <c r="U10" s="71"/>
      <c r="V10" s="71"/>
      <c r="W10" s="65"/>
      <c r="X10" s="65"/>
      <c r="Y10" s="65"/>
      <c r="Z10" s="65"/>
      <c r="AA10" s="65"/>
      <c r="AB10" s="65"/>
      <c r="AC10" s="76"/>
    </row>
    <row r="11" spans="1:29" ht="13.5" customHeight="1" x14ac:dyDescent="0.2">
      <c r="A11" s="51" t="s">
        <v>75</v>
      </c>
      <c r="B11" s="117"/>
      <c r="C11" s="57" t="s">
        <v>76</v>
      </c>
      <c r="D11" s="67"/>
      <c r="E11" s="35" t="s">
        <v>53</v>
      </c>
      <c r="F11" s="7"/>
      <c r="G11" s="7"/>
      <c r="H11" s="76"/>
      <c r="I11" s="8"/>
      <c r="J11" s="69" t="s">
        <v>13</v>
      </c>
      <c r="K11" s="69" t="s">
        <v>6</v>
      </c>
      <c r="L11" s="2"/>
      <c r="M11" s="7"/>
      <c r="N11" s="7"/>
      <c r="O11" s="7"/>
      <c r="P11" s="7"/>
      <c r="Q11" s="7"/>
      <c r="R11" s="76"/>
      <c r="S11" s="85"/>
      <c r="T11" s="46" t="s">
        <v>85</v>
      </c>
      <c r="U11" s="177" t="s">
        <v>99</v>
      </c>
      <c r="V11" s="177"/>
      <c r="W11" s="177"/>
      <c r="X11" s="177"/>
      <c r="Y11" s="177"/>
      <c r="Z11" s="177"/>
      <c r="AA11" s="177"/>
      <c r="AB11" s="177"/>
      <c r="AC11" s="178"/>
    </row>
    <row r="12" spans="1:29" ht="13.5" customHeight="1" x14ac:dyDescent="0.2">
      <c r="A12" s="139" t="s">
        <v>134</v>
      </c>
      <c r="B12" s="140"/>
      <c r="C12" s="140"/>
      <c r="D12" s="141"/>
      <c r="E12" s="195"/>
      <c r="F12" s="196"/>
      <c r="G12" s="196"/>
      <c r="H12" s="197"/>
      <c r="I12" s="8"/>
      <c r="J12" s="14"/>
      <c r="K12" s="19">
        <f>+J12/27</f>
        <v>0</v>
      </c>
      <c r="L12" s="2"/>
      <c r="M12" s="137" t="s">
        <v>37</v>
      </c>
      <c r="N12" s="138"/>
      <c r="O12" s="138"/>
      <c r="P12" s="138"/>
      <c r="Q12" s="138"/>
      <c r="R12" s="76"/>
      <c r="S12" s="8"/>
      <c r="T12" s="46" t="s">
        <v>84</v>
      </c>
      <c r="U12" s="179" t="s">
        <v>100</v>
      </c>
      <c r="V12" s="180"/>
      <c r="W12" s="180"/>
      <c r="X12" s="180"/>
      <c r="Y12" s="180"/>
      <c r="Z12" s="180"/>
      <c r="AA12" s="180"/>
      <c r="AB12" s="180"/>
      <c r="AC12" s="181"/>
    </row>
    <row r="13" spans="1:29" ht="13.5" customHeight="1" x14ac:dyDescent="0.2">
      <c r="A13" s="61" t="s">
        <v>135</v>
      </c>
      <c r="B13" s="63"/>
      <c r="C13" s="63"/>
      <c r="D13" s="62"/>
      <c r="E13" s="198"/>
      <c r="F13" s="199"/>
      <c r="G13" s="199"/>
      <c r="H13" s="200"/>
      <c r="I13" s="8"/>
      <c r="J13" s="42"/>
      <c r="K13" s="23"/>
      <c r="L13" s="2"/>
      <c r="M13" s="70"/>
      <c r="N13" s="71"/>
      <c r="O13" s="71"/>
      <c r="P13" s="71"/>
      <c r="Q13" s="71"/>
      <c r="R13" s="76"/>
      <c r="S13" s="8"/>
      <c r="T13" s="46" t="s">
        <v>94</v>
      </c>
      <c r="U13" s="105" t="s">
        <v>101</v>
      </c>
      <c r="V13" s="2"/>
      <c r="W13" s="2"/>
      <c r="X13" s="2"/>
      <c r="Y13" s="5"/>
      <c r="Z13" s="7"/>
      <c r="AA13" s="7"/>
      <c r="AB13" s="7"/>
      <c r="AC13" s="76"/>
    </row>
    <row r="14" spans="1:29" ht="13.5" customHeight="1" x14ac:dyDescent="0.2">
      <c r="A14" s="60"/>
      <c r="B14" s="59"/>
      <c r="C14" s="59"/>
      <c r="D14" s="59"/>
      <c r="E14" s="198"/>
      <c r="F14" s="199"/>
      <c r="G14" s="199"/>
      <c r="H14" s="200"/>
      <c r="I14" s="8"/>
      <c r="J14" s="42"/>
      <c r="K14" s="23"/>
      <c r="L14" s="2"/>
      <c r="M14" s="70"/>
      <c r="N14" s="71"/>
      <c r="O14" s="71"/>
      <c r="P14" s="71"/>
      <c r="Q14" s="71"/>
      <c r="R14" s="76"/>
      <c r="S14" s="8"/>
      <c r="T14" s="89" t="s">
        <v>83</v>
      </c>
      <c r="U14" s="175" t="s">
        <v>98</v>
      </c>
      <c r="V14" s="182"/>
      <c r="W14" s="182"/>
      <c r="X14" s="182"/>
      <c r="Y14" s="182"/>
      <c r="Z14" s="182"/>
      <c r="AA14" s="182"/>
      <c r="AB14" s="182"/>
      <c r="AC14" s="183"/>
    </row>
    <row r="15" spans="1:29" ht="13.5" customHeight="1" x14ac:dyDescent="0.25">
      <c r="A15" s="148" t="s">
        <v>70</v>
      </c>
      <c r="B15" s="149"/>
      <c r="C15" s="7"/>
      <c r="D15" s="2"/>
      <c r="E15" s="198"/>
      <c r="F15" s="199"/>
      <c r="G15" s="199"/>
      <c r="H15" s="200"/>
      <c r="I15" s="8"/>
      <c r="J15" s="69"/>
      <c r="K15" s="69"/>
      <c r="L15" s="7"/>
      <c r="M15" s="64"/>
      <c r="N15" s="64"/>
      <c r="O15" s="64"/>
      <c r="P15" s="64"/>
      <c r="Q15" s="7"/>
      <c r="R15" s="76"/>
      <c r="S15" s="8"/>
      <c r="T15" s="107" t="s">
        <v>109</v>
      </c>
      <c r="U15" s="175" t="s">
        <v>96</v>
      </c>
      <c r="V15" s="175"/>
      <c r="W15" s="175"/>
      <c r="X15" s="175"/>
      <c r="Y15" s="175"/>
      <c r="Z15" s="175"/>
      <c r="AA15" s="175"/>
      <c r="AB15" s="175"/>
      <c r="AC15" s="176"/>
    </row>
    <row r="16" spans="1:29" ht="13.5" customHeight="1" x14ac:dyDescent="0.2">
      <c r="A16" s="61" t="s">
        <v>136</v>
      </c>
      <c r="B16" s="7"/>
      <c r="C16" s="2"/>
      <c r="D16" s="2"/>
      <c r="E16" s="198"/>
      <c r="F16" s="199"/>
      <c r="G16" s="199"/>
      <c r="H16" s="200"/>
      <c r="I16" s="8"/>
      <c r="J16" s="69" t="s">
        <v>51</v>
      </c>
      <c r="K16" s="69" t="s">
        <v>6</v>
      </c>
      <c r="L16" s="2"/>
      <c r="M16" s="64" t="s">
        <v>20</v>
      </c>
      <c r="N16" s="64" t="s">
        <v>22</v>
      </c>
      <c r="O16" s="20" t="s">
        <v>28</v>
      </c>
      <c r="P16" s="7"/>
      <c r="Q16" s="20" t="s">
        <v>36</v>
      </c>
      <c r="R16" s="76"/>
      <c r="S16" s="85"/>
      <c r="T16" s="88" t="s">
        <v>117</v>
      </c>
      <c r="U16" s="175" t="s">
        <v>95</v>
      </c>
      <c r="V16" s="175"/>
      <c r="W16" s="175"/>
      <c r="X16" s="175"/>
      <c r="Y16" s="175"/>
      <c r="Z16" s="175"/>
      <c r="AA16" s="175"/>
      <c r="AB16" s="175"/>
      <c r="AC16" s="176"/>
    </row>
    <row r="17" spans="1:29" ht="13.5" customHeight="1" x14ac:dyDescent="0.2">
      <c r="A17" s="61" t="s">
        <v>137</v>
      </c>
      <c r="B17" s="7"/>
      <c r="C17" s="2"/>
      <c r="D17" s="2"/>
      <c r="E17" s="198"/>
      <c r="F17" s="199"/>
      <c r="G17" s="199"/>
      <c r="H17" s="200"/>
      <c r="I17" s="8"/>
      <c r="J17" s="69"/>
      <c r="K17" s="69"/>
      <c r="L17" s="2"/>
      <c r="M17" s="64"/>
      <c r="N17" s="64"/>
      <c r="O17" s="20"/>
      <c r="P17" s="7"/>
      <c r="Q17" s="20"/>
      <c r="R17" s="76"/>
      <c r="S17" s="85"/>
      <c r="T17" s="108" t="s">
        <v>36</v>
      </c>
      <c r="U17" s="104" t="s">
        <v>97</v>
      </c>
      <c r="V17" s="7"/>
      <c r="W17" s="7"/>
      <c r="X17" s="7"/>
      <c r="Y17" s="7"/>
      <c r="Z17" s="7"/>
      <c r="AA17" s="7"/>
      <c r="AB17" s="7"/>
      <c r="AC17" s="76"/>
    </row>
    <row r="18" spans="1:29" ht="13.5" customHeight="1" x14ac:dyDescent="0.2">
      <c r="A18" s="98" t="s">
        <v>85</v>
      </c>
      <c r="B18" s="118"/>
      <c r="C18" s="57" t="s">
        <v>3</v>
      </c>
      <c r="D18" s="2"/>
      <c r="E18" s="198"/>
      <c r="F18" s="199"/>
      <c r="G18" s="199"/>
      <c r="H18" s="200"/>
      <c r="I18" s="8"/>
      <c r="J18" s="15"/>
      <c r="K18" s="19">
        <f>+J18*43560/27</f>
        <v>0</v>
      </c>
      <c r="L18" s="2"/>
      <c r="M18" s="64" t="s">
        <v>21</v>
      </c>
      <c r="N18" s="64" t="s">
        <v>23</v>
      </c>
      <c r="O18" s="64" t="s">
        <v>34</v>
      </c>
      <c r="P18" s="7"/>
      <c r="Q18" s="20" t="s">
        <v>35</v>
      </c>
      <c r="R18" s="76"/>
      <c r="S18" s="85"/>
      <c r="T18" s="88" t="s">
        <v>110</v>
      </c>
      <c r="U18" s="175" t="s">
        <v>102</v>
      </c>
      <c r="V18" s="175"/>
      <c r="W18" s="175"/>
      <c r="X18" s="175"/>
      <c r="Y18" s="175"/>
      <c r="Z18" s="175"/>
      <c r="AA18" s="175"/>
      <c r="AB18" s="175"/>
      <c r="AC18" s="176"/>
    </row>
    <row r="19" spans="1:29" ht="13.5" customHeight="1" x14ac:dyDescent="0.2">
      <c r="A19" s="87" t="s">
        <v>86</v>
      </c>
      <c r="B19" s="118"/>
      <c r="C19" s="57" t="s">
        <v>3</v>
      </c>
      <c r="D19" s="2"/>
      <c r="E19" s="198"/>
      <c r="F19" s="199"/>
      <c r="G19" s="199"/>
      <c r="H19" s="200"/>
      <c r="I19" s="8"/>
      <c r="J19" s="69"/>
      <c r="K19" s="69"/>
      <c r="L19" s="2"/>
      <c r="M19" s="15"/>
      <c r="N19" s="14"/>
      <c r="O19" s="11"/>
      <c r="P19" s="7"/>
      <c r="Q19" s="16">
        <f>+M19*43560*N19*(100+O19)/100/27</f>
        <v>0</v>
      </c>
      <c r="R19" s="76"/>
      <c r="S19" s="85"/>
      <c r="T19" s="46" t="s">
        <v>111</v>
      </c>
      <c r="U19" s="179" t="s">
        <v>103</v>
      </c>
      <c r="V19" s="180"/>
      <c r="W19" s="180"/>
      <c r="X19" s="180"/>
      <c r="Y19" s="180"/>
      <c r="Z19" s="180"/>
      <c r="AA19" s="180"/>
      <c r="AB19" s="180"/>
      <c r="AC19" s="181"/>
    </row>
    <row r="20" spans="1:29" ht="13.5" customHeight="1" x14ac:dyDescent="0.2">
      <c r="A20" s="99" t="s">
        <v>84</v>
      </c>
      <c r="B20" s="119">
        <f>(B11-B22)</f>
        <v>0</v>
      </c>
      <c r="C20" s="57" t="s">
        <v>3</v>
      </c>
      <c r="D20" s="2"/>
      <c r="E20" s="198"/>
      <c r="F20" s="199"/>
      <c r="G20" s="199"/>
      <c r="H20" s="200"/>
      <c r="I20" s="8"/>
      <c r="J20" s="69" t="s">
        <v>14</v>
      </c>
      <c r="K20" s="69" t="s">
        <v>6</v>
      </c>
      <c r="L20" s="2"/>
      <c r="M20" s="7"/>
      <c r="N20" s="7"/>
      <c r="O20" s="7"/>
      <c r="P20" s="7"/>
      <c r="Q20" s="7"/>
      <c r="R20" s="76"/>
      <c r="S20" s="85"/>
      <c r="T20" s="46" t="s">
        <v>112</v>
      </c>
      <c r="U20" s="179" t="s">
        <v>104</v>
      </c>
      <c r="V20" s="180"/>
      <c r="W20" s="180"/>
      <c r="X20" s="180"/>
      <c r="Y20" s="180"/>
      <c r="Z20" s="180"/>
      <c r="AA20" s="180"/>
      <c r="AB20" s="180"/>
      <c r="AC20" s="181"/>
    </row>
    <row r="21" spans="1:29" ht="13.5" customHeight="1" x14ac:dyDescent="0.2">
      <c r="A21" s="99" t="s">
        <v>83</v>
      </c>
      <c r="B21" s="118"/>
      <c r="C21" s="58" t="s">
        <v>3</v>
      </c>
      <c r="D21" s="2"/>
      <c r="E21" s="198"/>
      <c r="F21" s="199"/>
      <c r="G21" s="199"/>
      <c r="H21" s="200"/>
      <c r="I21" s="8"/>
      <c r="J21" s="14"/>
      <c r="K21" s="19">
        <f>+J21*135</f>
        <v>0</v>
      </c>
      <c r="L21" s="2"/>
      <c r="M21" s="64"/>
      <c r="N21" s="64"/>
      <c r="O21" s="64"/>
      <c r="P21" s="64"/>
      <c r="Q21" s="7"/>
      <c r="R21" s="76"/>
      <c r="S21" s="85"/>
      <c r="T21" s="46" t="s">
        <v>113</v>
      </c>
      <c r="U21" s="179" t="s">
        <v>105</v>
      </c>
      <c r="V21" s="179"/>
      <c r="W21" s="179"/>
      <c r="X21" s="179"/>
      <c r="Y21" s="179"/>
      <c r="Z21" s="179"/>
      <c r="AA21" s="179"/>
      <c r="AB21" s="179"/>
      <c r="AC21" s="206"/>
    </row>
    <row r="22" spans="1:29" ht="13.5" customHeight="1" x14ac:dyDescent="0.25">
      <c r="A22" s="54" t="s">
        <v>71</v>
      </c>
      <c r="B22" s="119">
        <f>B18+B19+B21</f>
        <v>0</v>
      </c>
      <c r="C22" s="58" t="s">
        <v>77</v>
      </c>
      <c r="D22" s="2"/>
      <c r="E22" s="201"/>
      <c r="F22" s="202"/>
      <c r="G22" s="202"/>
      <c r="H22" s="203"/>
      <c r="I22" s="8"/>
      <c r="J22" s="69"/>
      <c r="K22" s="69"/>
      <c r="L22" s="2"/>
      <c r="M22" s="70"/>
      <c r="N22" s="71"/>
      <c r="O22" s="71"/>
      <c r="P22" s="71"/>
      <c r="Q22" s="71"/>
      <c r="R22" s="76"/>
      <c r="S22" s="8"/>
      <c r="T22" s="46" t="s">
        <v>65</v>
      </c>
      <c r="U22" s="179" t="s">
        <v>106</v>
      </c>
      <c r="V22" s="179"/>
      <c r="W22" s="179"/>
      <c r="X22" s="179"/>
      <c r="Y22" s="179"/>
      <c r="Z22" s="179"/>
      <c r="AA22" s="179"/>
      <c r="AB22" s="179"/>
      <c r="AC22" s="206"/>
    </row>
    <row r="23" spans="1:29" ht="13.5" customHeight="1" x14ac:dyDescent="0.2">
      <c r="A23" s="3"/>
      <c r="B23" s="2"/>
      <c r="C23" s="56" t="s">
        <v>125</v>
      </c>
      <c r="D23" s="2"/>
      <c r="E23" s="2"/>
      <c r="F23" s="2"/>
      <c r="G23" s="2"/>
      <c r="H23" s="74"/>
      <c r="I23" s="8"/>
      <c r="J23" s="69"/>
      <c r="K23" s="69"/>
      <c r="L23" s="2"/>
      <c r="M23" s="70"/>
      <c r="N23" s="71"/>
      <c r="O23" s="71"/>
      <c r="P23" s="71"/>
      <c r="Q23" s="71"/>
      <c r="R23" s="76"/>
      <c r="S23" s="8"/>
      <c r="T23" s="46" t="s">
        <v>116</v>
      </c>
      <c r="U23" s="179" t="s">
        <v>107</v>
      </c>
      <c r="V23" s="179"/>
      <c r="W23" s="179"/>
      <c r="X23" s="179"/>
      <c r="Y23" s="179"/>
      <c r="Z23" s="179"/>
      <c r="AA23" s="179"/>
      <c r="AB23" s="179"/>
      <c r="AC23" s="206"/>
    </row>
    <row r="24" spans="1:29" ht="13.5" customHeight="1" x14ac:dyDescent="0.2">
      <c r="A24" s="27"/>
      <c r="B24" s="7"/>
      <c r="C24" s="7"/>
      <c r="D24" s="7"/>
      <c r="E24" s="7"/>
      <c r="F24" s="7"/>
      <c r="G24" s="7"/>
      <c r="H24" s="76"/>
      <c r="I24" s="8"/>
      <c r="J24" s="69" t="s">
        <v>3</v>
      </c>
      <c r="K24" s="69" t="s">
        <v>15</v>
      </c>
      <c r="L24" s="2"/>
      <c r="M24" s="64"/>
      <c r="N24" s="64"/>
      <c r="O24" s="64"/>
      <c r="P24" s="64"/>
      <c r="Q24" s="7"/>
      <c r="R24" s="76"/>
      <c r="S24" s="85"/>
      <c r="T24" s="89" t="s">
        <v>115</v>
      </c>
      <c r="U24" s="173" t="s">
        <v>108</v>
      </c>
      <c r="V24" s="173"/>
      <c r="W24" s="173"/>
      <c r="X24" s="173"/>
      <c r="Y24" s="173"/>
      <c r="Z24" s="173"/>
      <c r="AA24" s="173"/>
      <c r="AB24" s="173"/>
      <c r="AC24" s="174"/>
    </row>
    <row r="25" spans="1:29" ht="13.5" customHeight="1" x14ac:dyDescent="0.2">
      <c r="A25" s="130" t="s">
        <v>138</v>
      </c>
      <c r="B25" s="131"/>
      <c r="C25" s="131"/>
      <c r="D25" s="131"/>
      <c r="E25" s="131"/>
      <c r="F25" s="131"/>
      <c r="G25" s="131"/>
      <c r="H25" s="132"/>
      <c r="I25" s="8"/>
      <c r="J25" s="15"/>
      <c r="K25" s="19">
        <f>SQRT(J25*43560)*4</f>
        <v>0</v>
      </c>
      <c r="L25" s="2"/>
      <c r="M25" s="64" t="s">
        <v>29</v>
      </c>
      <c r="N25" s="64" t="s">
        <v>30</v>
      </c>
      <c r="O25" s="64" t="s">
        <v>31</v>
      </c>
      <c r="P25" s="64"/>
      <c r="Q25" s="64" t="s">
        <v>32</v>
      </c>
      <c r="R25" s="76"/>
      <c r="S25" s="85"/>
      <c r="T25" s="89" t="s">
        <v>114</v>
      </c>
      <c r="U25" s="173" t="s">
        <v>118</v>
      </c>
      <c r="V25" s="204"/>
      <c r="W25" s="204"/>
      <c r="X25" s="204"/>
      <c r="Y25" s="204"/>
      <c r="Z25" s="204"/>
      <c r="AA25" s="204"/>
      <c r="AB25" s="204"/>
      <c r="AC25" s="205"/>
    </row>
    <row r="26" spans="1:29" ht="13.5" customHeight="1" x14ac:dyDescent="0.2">
      <c r="A26" s="100" t="s">
        <v>139</v>
      </c>
      <c r="B26" s="113"/>
      <c r="C26" s="113"/>
      <c r="D26" s="113"/>
      <c r="E26" s="113"/>
      <c r="F26" s="113"/>
      <c r="G26" s="113"/>
      <c r="H26" s="114"/>
      <c r="I26" s="8"/>
      <c r="J26" s="115"/>
      <c r="K26" s="23"/>
      <c r="L26" s="2"/>
      <c r="M26" s="64"/>
      <c r="N26" s="64"/>
      <c r="O26" s="64"/>
      <c r="P26" s="64"/>
      <c r="Q26" s="64"/>
      <c r="R26" s="76"/>
      <c r="S26" s="85"/>
      <c r="T26" s="89"/>
      <c r="U26" s="110"/>
      <c r="V26" s="111"/>
      <c r="W26" s="111"/>
      <c r="X26" s="111"/>
      <c r="Y26" s="111"/>
      <c r="Z26" s="111"/>
      <c r="AA26" s="111"/>
      <c r="AB26" s="111"/>
      <c r="AC26" s="112"/>
    </row>
    <row r="27" spans="1:29" ht="13.5" customHeight="1" x14ac:dyDescent="0.2">
      <c r="A27" s="100" t="s">
        <v>74</v>
      </c>
      <c r="B27" s="66" t="s">
        <v>73</v>
      </c>
      <c r="C27" s="66" t="s">
        <v>18</v>
      </c>
      <c r="D27" s="155" t="s">
        <v>124</v>
      </c>
      <c r="E27" s="156"/>
      <c r="F27" s="70" t="s">
        <v>6</v>
      </c>
      <c r="G27" s="7"/>
      <c r="H27" s="74"/>
      <c r="I27" s="8"/>
      <c r="J27" s="69"/>
      <c r="K27" s="69"/>
      <c r="L27" s="2"/>
      <c r="M27" s="64" t="s">
        <v>23</v>
      </c>
      <c r="N27" s="64" t="s">
        <v>23</v>
      </c>
      <c r="O27" s="64" t="s">
        <v>23</v>
      </c>
      <c r="P27" s="64"/>
      <c r="Q27" s="64" t="s">
        <v>25</v>
      </c>
      <c r="R27" s="76"/>
      <c r="S27" s="85"/>
      <c r="T27" s="109" t="s">
        <v>121</v>
      </c>
      <c r="U27" s="184" t="s">
        <v>122</v>
      </c>
      <c r="V27" s="184"/>
      <c r="W27" s="184"/>
      <c r="X27" s="184"/>
      <c r="Y27" s="184"/>
      <c r="Z27" s="184"/>
      <c r="AA27" s="184"/>
      <c r="AB27" s="184"/>
      <c r="AC27" s="185"/>
    </row>
    <row r="28" spans="1:29" ht="13.5" customHeight="1" x14ac:dyDescent="0.2">
      <c r="A28" s="117"/>
      <c r="B28" s="117"/>
      <c r="C28" s="117"/>
      <c r="D28" s="117"/>
      <c r="E28" s="12" t="s">
        <v>17</v>
      </c>
      <c r="F28" s="16">
        <f>SUMPRODUCT(ROUND(B28,0))*(SUMPRODUCT(ROUND(C28,0))/2)*(D28*SUMPRODUCT(ROUND(C28,0))/2)/2/27</f>
        <v>0</v>
      </c>
      <c r="G28" s="101" t="s">
        <v>19</v>
      </c>
      <c r="H28" s="76"/>
      <c r="I28" s="8"/>
      <c r="J28" s="69"/>
      <c r="K28" s="69"/>
      <c r="L28" s="2"/>
      <c r="M28" s="10"/>
      <c r="N28" s="10"/>
      <c r="O28" s="10"/>
      <c r="P28" s="64"/>
      <c r="Q28" s="16">
        <f>3.1412/3*(+M28/2)*(+M28/2)*+N28+(+M28*+N28/2*+O28)/27</f>
        <v>0</v>
      </c>
      <c r="R28" s="76"/>
      <c r="S28" s="85"/>
      <c r="T28" s="109" t="s">
        <v>120</v>
      </c>
      <c r="U28" s="184" t="s">
        <v>119</v>
      </c>
      <c r="V28" s="184"/>
      <c r="W28" s="184"/>
      <c r="X28" s="184"/>
      <c r="Y28" s="184"/>
      <c r="Z28" s="184"/>
      <c r="AA28" s="184"/>
      <c r="AB28" s="184"/>
      <c r="AC28" s="185"/>
    </row>
    <row r="29" spans="1:29" ht="13.5" customHeight="1" x14ac:dyDescent="0.2">
      <c r="A29" s="117"/>
      <c r="B29" s="117"/>
      <c r="C29" s="117"/>
      <c r="D29" s="117"/>
      <c r="E29" s="12" t="s">
        <v>17</v>
      </c>
      <c r="F29" s="16">
        <f>SUMPRODUCT(ROUND(B29,0))*(SUMPRODUCT(ROUND(C29,0))/2)*(D29*SUMPRODUCT(ROUND(C29,0))/2)/2/27</f>
        <v>0</v>
      </c>
      <c r="G29" s="25">
        <f>SUM(F28:F29)</f>
        <v>0</v>
      </c>
      <c r="H29" s="76"/>
      <c r="I29" s="8"/>
      <c r="J29" s="2"/>
      <c r="K29" s="2"/>
      <c r="L29" s="2"/>
      <c r="M29" s="7"/>
      <c r="N29" s="7"/>
      <c r="O29" s="7"/>
      <c r="P29" s="7"/>
      <c r="Q29" s="7"/>
      <c r="R29" s="76"/>
      <c r="S29" s="85"/>
      <c r="T29" s="7"/>
      <c r="U29" s="184"/>
      <c r="V29" s="184"/>
      <c r="W29" s="184"/>
      <c r="X29" s="184"/>
      <c r="Y29" s="184"/>
      <c r="Z29" s="184"/>
      <c r="AA29" s="184"/>
      <c r="AB29" s="184"/>
      <c r="AC29" s="185"/>
    </row>
    <row r="30" spans="1:29" ht="24.75" customHeight="1" x14ac:dyDescent="0.2">
      <c r="A30" s="168" t="s">
        <v>140</v>
      </c>
      <c r="B30" s="169"/>
      <c r="C30" s="169"/>
      <c r="D30" s="169"/>
      <c r="E30" s="169"/>
      <c r="F30" s="169"/>
      <c r="G30" s="169"/>
      <c r="H30" s="170"/>
      <c r="I30" s="8"/>
      <c r="J30" s="2"/>
      <c r="K30" s="2"/>
      <c r="L30" s="2"/>
      <c r="M30" s="7"/>
      <c r="N30" s="7"/>
      <c r="O30" s="7"/>
      <c r="P30" s="7"/>
      <c r="Q30" s="7"/>
      <c r="R30" s="76"/>
      <c r="S30" s="85"/>
      <c r="T30" s="7"/>
      <c r="U30" s="7"/>
      <c r="V30" s="7"/>
      <c r="W30" s="7"/>
      <c r="X30" s="7"/>
      <c r="Y30" s="7"/>
      <c r="Z30" s="7"/>
      <c r="AA30" s="7"/>
      <c r="AB30" s="7"/>
      <c r="AC30" s="76"/>
    </row>
    <row r="31" spans="1:29" ht="13.5" customHeight="1" x14ac:dyDescent="0.2">
      <c r="A31" s="100" t="s">
        <v>74</v>
      </c>
      <c r="B31" s="55" t="s">
        <v>73</v>
      </c>
      <c r="C31" s="69" t="s">
        <v>18</v>
      </c>
      <c r="D31" s="153" t="s">
        <v>124</v>
      </c>
      <c r="E31" s="154"/>
      <c r="F31" s="64" t="s">
        <v>6</v>
      </c>
      <c r="G31" s="69"/>
      <c r="H31" s="76"/>
      <c r="I31" s="8"/>
      <c r="J31" s="2"/>
      <c r="K31" s="207" t="s">
        <v>52</v>
      </c>
      <c r="L31" s="208"/>
      <c r="M31" s="208"/>
      <c r="N31" s="208"/>
      <c r="O31" s="208"/>
      <c r="P31" s="7"/>
      <c r="Q31" s="7"/>
      <c r="R31" s="76"/>
      <c r="S31" s="8"/>
      <c r="T31" s="7"/>
      <c r="U31" s="7"/>
      <c r="V31" s="7"/>
      <c r="W31" s="7"/>
      <c r="X31" s="7"/>
      <c r="Y31" s="7"/>
      <c r="Z31" s="7"/>
      <c r="AA31" s="7"/>
      <c r="AB31" s="7"/>
      <c r="AC31" s="76"/>
    </row>
    <row r="32" spans="1:29" ht="13.5" customHeight="1" x14ac:dyDescent="0.2">
      <c r="A32" s="117"/>
      <c r="B32" s="117"/>
      <c r="C32" s="117"/>
      <c r="D32" s="117"/>
      <c r="E32" s="12" t="s">
        <v>17</v>
      </c>
      <c r="F32" s="24">
        <f>SUMPRODUCT(ROUND(B32,0))*SUMPRODUCT(ROUND(C32,0)*ROUND(D32,0)*ROUND(C32,0))/2/27</f>
        <v>0</v>
      </c>
      <c r="G32" s="30" t="s">
        <v>19</v>
      </c>
      <c r="H32" s="76"/>
      <c r="I32" s="8"/>
      <c r="J32" s="7"/>
      <c r="K32" s="7"/>
      <c r="L32" s="7"/>
      <c r="M32" s="7"/>
      <c r="N32" s="7"/>
      <c r="O32" s="7"/>
      <c r="P32" s="7"/>
      <c r="Q32" s="7"/>
      <c r="R32" s="76"/>
      <c r="S32" s="85"/>
      <c r="T32" s="2" t="s">
        <v>38</v>
      </c>
      <c r="U32" s="180" t="s">
        <v>55</v>
      </c>
      <c r="V32" s="180"/>
      <c r="W32" s="180"/>
      <c r="X32" s="180"/>
      <c r="Y32" s="180"/>
      <c r="Z32" s="180"/>
      <c r="AA32" s="180"/>
      <c r="AB32" s="180"/>
      <c r="AC32" s="181"/>
    </row>
    <row r="33" spans="1:29" ht="13.5" customHeight="1" x14ac:dyDescent="0.2">
      <c r="A33" s="117"/>
      <c r="B33" s="117"/>
      <c r="C33" s="117"/>
      <c r="D33" s="117"/>
      <c r="E33" s="12" t="s">
        <v>17</v>
      </c>
      <c r="F33" s="24">
        <f>SUMPRODUCT(ROUND(B33,0))*SUMPRODUCT(ROUND(C33,0)*ROUND(D33,0)*ROUND(C33,0))/2/27</f>
        <v>0</v>
      </c>
      <c r="G33" s="25">
        <f>SUM(F32:F33)</f>
        <v>0</v>
      </c>
      <c r="H33" s="76"/>
      <c r="I33" s="8"/>
      <c r="J33" s="7"/>
      <c r="K33" s="7"/>
      <c r="L33" s="7"/>
      <c r="M33" s="7"/>
      <c r="N33" s="7"/>
      <c r="O33" s="7"/>
      <c r="P33" s="7"/>
      <c r="Q33" s="7"/>
      <c r="R33" s="76"/>
      <c r="S33" s="85"/>
      <c r="T33" s="46" t="s">
        <v>68</v>
      </c>
      <c r="U33" s="180" t="s">
        <v>48</v>
      </c>
      <c r="V33" s="180"/>
      <c r="W33" s="180"/>
      <c r="X33" s="180"/>
      <c r="Y33" s="180"/>
      <c r="Z33" s="180"/>
      <c r="AA33" s="180"/>
      <c r="AB33" s="180"/>
      <c r="AC33" s="181"/>
    </row>
    <row r="34" spans="1:29" ht="24" customHeight="1" x14ac:dyDescent="0.2">
      <c r="A34" s="192" t="s">
        <v>141</v>
      </c>
      <c r="B34" s="193"/>
      <c r="C34" s="193"/>
      <c r="D34" s="193"/>
      <c r="E34" s="193"/>
      <c r="F34" s="193"/>
      <c r="G34" s="193"/>
      <c r="H34" s="194"/>
      <c r="I34" s="8"/>
      <c r="J34" s="7"/>
      <c r="K34" s="7"/>
      <c r="L34" s="7"/>
      <c r="M34" s="7"/>
      <c r="N34" s="7"/>
      <c r="O34" s="7"/>
      <c r="P34" s="7"/>
      <c r="Q34" s="7"/>
      <c r="R34" s="76"/>
      <c r="S34" s="85"/>
      <c r="T34" s="7" t="s">
        <v>56</v>
      </c>
      <c r="U34" s="7"/>
      <c r="V34" s="7"/>
      <c r="W34" s="7"/>
      <c r="X34" s="7"/>
      <c r="Y34" s="7"/>
      <c r="Z34" s="7"/>
      <c r="AA34" s="7"/>
      <c r="AB34" s="7"/>
      <c r="AC34" s="76"/>
    </row>
    <row r="35" spans="1:29" ht="13.5" customHeight="1" x14ac:dyDescent="0.2">
      <c r="A35" s="100" t="s">
        <v>74</v>
      </c>
      <c r="B35" s="42" t="s">
        <v>3</v>
      </c>
      <c r="C35" s="43" t="s">
        <v>49</v>
      </c>
      <c r="D35" s="166" t="s">
        <v>50</v>
      </c>
      <c r="E35" s="167"/>
      <c r="F35" s="23" t="s">
        <v>6</v>
      </c>
      <c r="G35" s="23"/>
      <c r="H35" s="76"/>
      <c r="I35" s="8"/>
      <c r="J35" s="7"/>
      <c r="K35" s="7"/>
      <c r="L35" s="7"/>
      <c r="M35" s="7"/>
      <c r="N35" s="7"/>
      <c r="O35" s="7"/>
      <c r="P35" s="7"/>
      <c r="Q35" s="7"/>
      <c r="R35" s="76"/>
      <c r="S35" s="8"/>
      <c r="T35" s="7"/>
      <c r="U35" s="7"/>
      <c r="V35" s="7"/>
      <c r="W35" s="7"/>
      <c r="X35" s="7"/>
      <c r="Y35" s="7"/>
      <c r="Z35" s="7"/>
      <c r="AA35" s="7"/>
      <c r="AB35" s="7"/>
      <c r="AC35" s="76"/>
    </row>
    <row r="36" spans="1:29" ht="13.5" customHeight="1" x14ac:dyDescent="0.2">
      <c r="A36" s="117"/>
      <c r="B36" s="117"/>
      <c r="C36" s="117"/>
      <c r="D36" s="41"/>
      <c r="E36" s="117"/>
      <c r="F36" s="16">
        <f>+SUMPRODUCT(ROUND(B36,0))*43560*SUMPRODUCT(ROUND(C36,0))*(100+SUMPRODUCT(ROUND(E36,0)))/100/27</f>
        <v>0</v>
      </c>
      <c r="G36" s="31" t="s">
        <v>19</v>
      </c>
      <c r="H36" s="76"/>
      <c r="I36" s="8"/>
      <c r="J36" s="2"/>
      <c r="K36" s="2"/>
      <c r="L36" s="2"/>
      <c r="M36" s="7"/>
      <c r="N36" s="7"/>
      <c r="O36" s="34"/>
      <c r="P36" s="7"/>
      <c r="Q36" s="7"/>
      <c r="R36" s="76"/>
      <c r="S36" s="85"/>
      <c r="T36" s="2"/>
      <c r="U36" s="2"/>
      <c r="V36" s="2"/>
      <c r="W36" s="2"/>
      <c r="X36" s="21"/>
      <c r="Y36" s="21"/>
      <c r="Z36" s="21"/>
      <c r="AA36" s="20"/>
      <c r="AB36" s="22"/>
      <c r="AC36" s="76"/>
    </row>
    <row r="37" spans="1:29" ht="13.5" customHeight="1" x14ac:dyDescent="0.2">
      <c r="A37" s="117"/>
      <c r="B37" s="117"/>
      <c r="C37" s="117"/>
      <c r="D37" s="41"/>
      <c r="E37" s="117"/>
      <c r="F37" s="16">
        <f>+SUMPRODUCT(ROUND(B37,0))*43560*SUMPRODUCT(ROUND(C37,0))*(100+SUMPRODUCT(ROUND(E37,0)))/100/27</f>
        <v>0</v>
      </c>
      <c r="G37" s="25">
        <f>SUM(F36:F37)</f>
        <v>0</v>
      </c>
      <c r="H37" s="76"/>
      <c r="I37" s="8"/>
      <c r="J37" s="7"/>
      <c r="K37" s="7"/>
      <c r="L37" s="7"/>
      <c r="M37" s="7"/>
      <c r="N37" s="7"/>
      <c r="O37" s="7"/>
      <c r="P37" s="7"/>
      <c r="Q37" s="7"/>
      <c r="R37" s="76"/>
      <c r="S37" s="85"/>
      <c r="T37" s="2"/>
      <c r="U37" s="2"/>
      <c r="V37" s="2"/>
      <c r="W37" s="2"/>
      <c r="X37" s="7"/>
      <c r="Y37" s="7"/>
      <c r="Z37" s="7"/>
      <c r="AA37" s="7"/>
      <c r="AB37" s="7"/>
      <c r="AC37" s="76"/>
    </row>
    <row r="38" spans="1:29" ht="13.5" customHeight="1" x14ac:dyDescent="0.2">
      <c r="A38" s="3"/>
      <c r="B38" s="42"/>
      <c r="C38" s="43"/>
      <c r="D38" s="9"/>
      <c r="E38" s="9"/>
      <c r="F38" s="42"/>
      <c r="G38" s="23"/>
      <c r="H38" s="77"/>
      <c r="I38" s="8"/>
      <c r="J38" s="7"/>
      <c r="K38" s="7"/>
      <c r="L38" s="7"/>
      <c r="M38" s="7"/>
      <c r="N38" s="7"/>
      <c r="O38" s="7"/>
      <c r="P38" s="7"/>
      <c r="Q38" s="7"/>
      <c r="R38" s="76"/>
      <c r="S38" s="85"/>
      <c r="T38" s="2"/>
      <c r="U38" s="2"/>
      <c r="V38" s="2"/>
      <c r="W38" s="2"/>
      <c r="X38" s="7"/>
      <c r="Y38" s="7"/>
      <c r="Z38" s="7"/>
      <c r="AA38" s="7"/>
      <c r="AB38" s="7"/>
      <c r="AC38" s="76"/>
    </row>
    <row r="39" spans="1:29" ht="13.5" customHeight="1" x14ac:dyDescent="0.2">
      <c r="A39" s="47" t="s">
        <v>80</v>
      </c>
      <c r="B39" s="117"/>
      <c r="C39" s="95" t="s">
        <v>54</v>
      </c>
      <c r="D39" s="162" t="s">
        <v>81</v>
      </c>
      <c r="E39" s="163"/>
      <c r="F39" s="116"/>
      <c r="G39" s="94" t="s">
        <v>82</v>
      </c>
      <c r="H39" s="78">
        <f>SUMPRODUCT(ROUND(B39+F39,0))</f>
        <v>0</v>
      </c>
      <c r="I39" s="8"/>
      <c r="J39" s="7"/>
      <c r="K39" s="7"/>
      <c r="L39" s="7"/>
      <c r="M39" s="7"/>
      <c r="N39" s="7"/>
      <c r="O39" s="7"/>
      <c r="P39" s="7"/>
      <c r="Q39" s="7"/>
      <c r="R39" s="76"/>
      <c r="S39" s="85"/>
      <c r="T39" s="2"/>
      <c r="U39" s="2"/>
      <c r="V39" s="2"/>
      <c r="W39" s="2"/>
      <c r="X39" s="7"/>
      <c r="Y39" s="7"/>
      <c r="Z39" s="7"/>
      <c r="AA39" s="7"/>
      <c r="AB39" s="7"/>
      <c r="AC39" s="76"/>
    </row>
    <row r="40" spans="1:29" ht="13.5" customHeight="1" x14ac:dyDescent="0.2">
      <c r="A40" s="8" t="s">
        <v>61</v>
      </c>
      <c r="B40" s="117"/>
      <c r="C40" s="95" t="s">
        <v>54</v>
      </c>
      <c r="D40" s="162" t="s">
        <v>81</v>
      </c>
      <c r="E40" s="163"/>
      <c r="F40" s="116"/>
      <c r="G40" s="94" t="s">
        <v>82</v>
      </c>
      <c r="H40" s="78">
        <f>SUMPRODUCT(ROUND(B40+F40,0))</f>
        <v>0</v>
      </c>
      <c r="I40" s="8"/>
      <c r="J40" s="7"/>
      <c r="K40" s="7"/>
      <c r="L40" s="7"/>
      <c r="M40" s="7"/>
      <c r="N40" s="7"/>
      <c r="O40" s="7"/>
      <c r="P40" s="7"/>
      <c r="Q40" s="7"/>
      <c r="R40" s="76"/>
      <c r="S40" s="85"/>
      <c r="T40" s="2"/>
      <c r="U40" s="2"/>
      <c r="V40" s="2"/>
      <c r="W40" s="2"/>
      <c r="X40" s="7"/>
      <c r="Y40" s="7"/>
      <c r="Z40" s="34"/>
      <c r="AA40" s="7"/>
      <c r="AB40" s="7"/>
      <c r="AC40" s="76"/>
    </row>
    <row r="41" spans="1:29" ht="13.5" customHeight="1" x14ac:dyDescent="0.2">
      <c r="A41" s="3"/>
      <c r="B41" s="2"/>
      <c r="C41" s="2"/>
      <c r="D41" s="164" t="s">
        <v>142</v>
      </c>
      <c r="E41" s="164"/>
      <c r="F41" s="164"/>
      <c r="G41" s="164" t="s">
        <v>19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6"/>
      <c r="S41" s="85"/>
      <c r="T41" s="2"/>
      <c r="U41" s="2"/>
      <c r="V41" s="2"/>
      <c r="W41" s="2"/>
      <c r="X41" s="2"/>
      <c r="Y41" s="2"/>
      <c r="Z41" s="2"/>
      <c r="AA41" s="7"/>
      <c r="AB41" s="7"/>
      <c r="AC41" s="76"/>
    </row>
    <row r="42" spans="1:29" ht="13.5" customHeight="1" x14ac:dyDescent="0.2">
      <c r="A42" s="28" t="s">
        <v>39</v>
      </c>
      <c r="B42" s="1" t="s">
        <v>0</v>
      </c>
      <c r="C42" s="1"/>
      <c r="D42" s="1" t="s">
        <v>1</v>
      </c>
      <c r="E42" s="1"/>
      <c r="F42" s="165" t="s">
        <v>5</v>
      </c>
      <c r="G42" s="129"/>
      <c r="H42" s="86" t="s">
        <v>78</v>
      </c>
      <c r="I42" s="8"/>
      <c r="J42" s="7"/>
      <c r="K42" s="7"/>
      <c r="L42" s="7"/>
      <c r="M42" s="7"/>
      <c r="N42" s="7"/>
      <c r="O42" s="7"/>
      <c r="P42" s="7"/>
      <c r="Q42" s="7"/>
      <c r="R42" s="76"/>
      <c r="S42" s="85"/>
      <c r="T42" s="2"/>
      <c r="U42" s="2"/>
      <c r="V42" s="2"/>
      <c r="W42" s="2"/>
      <c r="X42" s="2"/>
      <c r="Y42" s="2"/>
      <c r="Z42" s="2"/>
      <c r="AA42" s="7"/>
      <c r="AB42" s="7"/>
      <c r="AC42" s="76"/>
    </row>
    <row r="43" spans="1:29" ht="13.5" customHeight="1" x14ac:dyDescent="0.2">
      <c r="A43" s="171" t="s">
        <v>90</v>
      </c>
      <c r="B43" s="172"/>
      <c r="C43" s="191"/>
      <c r="D43" s="26">
        <f>SUMPRODUCT(ROUND(G29,0))</f>
        <v>0</v>
      </c>
      <c r="E43" s="2" t="s">
        <v>7</v>
      </c>
      <c r="F43" s="4">
        <v>1</v>
      </c>
      <c r="G43" s="2" t="s">
        <v>8</v>
      </c>
      <c r="H43" s="79">
        <f>+D43*F43</f>
        <v>0</v>
      </c>
      <c r="I43" s="8"/>
      <c r="J43" s="7"/>
      <c r="K43" s="7"/>
      <c r="L43" s="7"/>
      <c r="M43" s="7"/>
      <c r="N43" s="7"/>
      <c r="O43" s="7"/>
      <c r="P43" s="7"/>
      <c r="Q43" s="7"/>
      <c r="R43" s="76"/>
      <c r="S43" s="85"/>
      <c r="T43" s="2"/>
      <c r="U43" s="2"/>
      <c r="V43" s="2"/>
      <c r="W43" s="2"/>
      <c r="X43" s="2"/>
      <c r="Y43" s="2"/>
      <c r="Z43" s="2"/>
      <c r="AA43" s="7"/>
      <c r="AB43" s="7"/>
      <c r="AC43" s="76"/>
    </row>
    <row r="44" spans="1:29" ht="13.5" customHeight="1" x14ac:dyDescent="0.2">
      <c r="A44" s="171" t="s">
        <v>123</v>
      </c>
      <c r="B44" s="172"/>
      <c r="C44" s="191"/>
      <c r="D44" s="26">
        <f>SUMPRODUCT(ROUND(G33+G37,0))</f>
        <v>0</v>
      </c>
      <c r="E44" s="2" t="s">
        <v>7</v>
      </c>
      <c r="F44" s="102">
        <v>1.5</v>
      </c>
      <c r="G44" s="2" t="s">
        <v>8</v>
      </c>
      <c r="H44" s="79">
        <f>+D44*F44</f>
        <v>0</v>
      </c>
      <c r="I44" s="8"/>
      <c r="J44" s="7"/>
      <c r="K44" s="7"/>
      <c r="L44" s="7"/>
      <c r="M44" s="7"/>
      <c r="N44" s="7"/>
      <c r="O44" s="7"/>
      <c r="P44" s="7"/>
      <c r="Q44" s="7"/>
      <c r="R44" s="76"/>
      <c r="S44" s="85"/>
      <c r="T44" s="2"/>
      <c r="U44" s="2"/>
      <c r="V44" s="2"/>
      <c r="W44" s="2"/>
      <c r="X44" s="2"/>
      <c r="Y44" s="2"/>
      <c r="Z44" s="2"/>
      <c r="AA44" s="7"/>
      <c r="AB44" s="7"/>
      <c r="AC44" s="76"/>
    </row>
    <row r="45" spans="1:29" ht="13.5" customHeight="1" x14ac:dyDescent="0.2">
      <c r="A45" s="47" t="s">
        <v>91</v>
      </c>
      <c r="B45" s="6"/>
      <c r="C45" s="2"/>
      <c r="D45" s="26">
        <f>SUMPRODUCT(ROUND(G33+G37,0))</f>
        <v>0</v>
      </c>
      <c r="E45" s="46" t="s">
        <v>7</v>
      </c>
      <c r="F45" s="117"/>
      <c r="G45" s="46" t="s">
        <v>8</v>
      </c>
      <c r="H45" s="79">
        <f>+D45*F45</f>
        <v>0</v>
      </c>
      <c r="I45" s="8"/>
      <c r="J45" s="7"/>
      <c r="K45" s="7"/>
      <c r="L45" s="7"/>
      <c r="M45" s="7"/>
      <c r="N45" s="7"/>
      <c r="O45" s="7"/>
      <c r="P45" s="7"/>
      <c r="Q45" s="7"/>
      <c r="R45" s="76"/>
      <c r="S45" s="85"/>
      <c r="T45" s="2"/>
      <c r="U45" s="2"/>
      <c r="V45" s="2"/>
      <c r="W45" s="2"/>
      <c r="X45" s="2"/>
      <c r="Y45" s="2"/>
      <c r="Z45" s="2"/>
      <c r="AA45" s="7"/>
      <c r="AB45" s="7"/>
      <c r="AC45" s="76"/>
    </row>
    <row r="46" spans="1:29" ht="13.5" customHeight="1" x14ac:dyDescent="0.2">
      <c r="A46" s="47" t="s">
        <v>87</v>
      </c>
      <c r="B46" s="6"/>
      <c r="C46" s="2"/>
      <c r="D46" s="97">
        <f>SUMPRODUCT(ROUND(B18,1))</f>
        <v>0</v>
      </c>
      <c r="E46" s="2" t="s">
        <v>3</v>
      </c>
      <c r="F46" s="4">
        <v>100</v>
      </c>
      <c r="G46" s="4" t="s">
        <v>4</v>
      </c>
      <c r="H46" s="79">
        <f>+D46*F46</f>
        <v>0</v>
      </c>
      <c r="I46" s="8"/>
      <c r="J46" s="7"/>
      <c r="K46" s="7"/>
      <c r="L46" s="7"/>
      <c r="M46" s="7"/>
      <c r="N46" s="7"/>
      <c r="O46" s="7"/>
      <c r="P46" s="7"/>
      <c r="Q46" s="7"/>
      <c r="R46" s="76"/>
      <c r="S46" s="85"/>
      <c r="T46" s="2"/>
      <c r="U46" s="2"/>
      <c r="V46" s="2"/>
      <c r="W46" s="2"/>
      <c r="X46" s="2"/>
      <c r="Y46" s="2"/>
      <c r="Z46" s="2"/>
      <c r="AA46" s="7"/>
      <c r="AB46" s="7"/>
      <c r="AC46" s="76"/>
    </row>
    <row r="47" spans="1:29" ht="13.5" customHeight="1" x14ac:dyDescent="0.2">
      <c r="A47" s="47" t="s">
        <v>88</v>
      </c>
      <c r="B47" s="6"/>
      <c r="C47" s="2"/>
      <c r="D47" s="97">
        <f>SUMPRODUCT(ROUND(B18,1))</f>
        <v>0</v>
      </c>
      <c r="E47" s="2" t="s">
        <v>3</v>
      </c>
      <c r="F47" s="4">
        <v>100</v>
      </c>
      <c r="G47" s="4" t="s">
        <v>4</v>
      </c>
      <c r="H47" s="79">
        <f>+D47*F47</f>
        <v>0</v>
      </c>
      <c r="I47" s="8"/>
      <c r="J47" s="7"/>
      <c r="K47" s="7"/>
      <c r="L47" s="7"/>
      <c r="M47" s="7"/>
      <c r="N47" s="7"/>
      <c r="O47" s="7"/>
      <c r="P47" s="7"/>
      <c r="Q47" s="7"/>
      <c r="R47" s="76"/>
      <c r="S47" s="85"/>
      <c r="T47" s="2"/>
      <c r="U47" s="2"/>
      <c r="V47" s="2"/>
      <c r="W47" s="2"/>
      <c r="X47" s="2"/>
      <c r="Y47" s="2"/>
      <c r="Z47" s="2"/>
      <c r="AA47" s="7"/>
      <c r="AB47" s="7"/>
      <c r="AC47" s="76"/>
    </row>
    <row r="48" spans="1:29" ht="13.5" customHeight="1" x14ac:dyDescent="0.2">
      <c r="A48" s="47" t="s">
        <v>89</v>
      </c>
      <c r="B48" s="13">
        <f>H39</f>
        <v>0</v>
      </c>
      <c r="C48" s="2" t="s">
        <v>2</v>
      </c>
      <c r="D48" s="97">
        <f>SUMPRODUCT(ROUND(B18,1))</f>
        <v>0</v>
      </c>
      <c r="E48" s="2" t="s">
        <v>3</v>
      </c>
      <c r="F48" s="102">
        <v>1.25</v>
      </c>
      <c r="G48" s="103" t="s">
        <v>8</v>
      </c>
      <c r="H48" s="79">
        <f>+(((B48/12)*(D48*43560))/27)*1.25</f>
        <v>0</v>
      </c>
      <c r="I48" s="8"/>
      <c r="J48" s="7"/>
      <c r="K48" s="7"/>
      <c r="L48" s="7"/>
      <c r="M48" s="7"/>
      <c r="N48" s="7"/>
      <c r="O48" s="7"/>
      <c r="P48" s="7"/>
      <c r="Q48" s="7"/>
      <c r="R48" s="76"/>
      <c r="S48" s="85"/>
      <c r="T48" s="2"/>
      <c r="U48" s="2"/>
      <c r="V48" s="2"/>
      <c r="W48" s="2"/>
      <c r="X48" s="2"/>
      <c r="Y48" s="2"/>
      <c r="Z48" s="2"/>
      <c r="AA48" s="7"/>
      <c r="AB48" s="7"/>
      <c r="AC48" s="76"/>
    </row>
    <row r="49" spans="1:29" ht="13.5" customHeight="1" x14ac:dyDescent="0.2">
      <c r="A49" s="3" t="s">
        <v>62</v>
      </c>
      <c r="B49" s="6"/>
      <c r="C49" s="2"/>
      <c r="D49" s="97">
        <f>SUMPRODUCT(ROUND(B21,1))</f>
        <v>0</v>
      </c>
      <c r="E49" s="2" t="s">
        <v>3</v>
      </c>
      <c r="F49" s="4">
        <v>100</v>
      </c>
      <c r="G49" s="103" t="s">
        <v>4</v>
      </c>
      <c r="H49" s="79">
        <f>+D49*F49</f>
        <v>0</v>
      </c>
      <c r="I49" s="8"/>
      <c r="J49" s="7"/>
      <c r="K49" s="7"/>
      <c r="L49" s="7"/>
      <c r="M49" s="7"/>
      <c r="N49" s="7"/>
      <c r="O49" s="7"/>
      <c r="P49" s="7"/>
      <c r="Q49" s="7"/>
      <c r="R49" s="76"/>
      <c r="S49" s="85"/>
      <c r="T49" s="2"/>
      <c r="U49" s="2"/>
      <c r="V49" s="2"/>
      <c r="W49" s="2"/>
      <c r="X49" s="2"/>
      <c r="Y49" s="2"/>
      <c r="Z49" s="2"/>
      <c r="AA49" s="7"/>
      <c r="AB49" s="7"/>
      <c r="AC49" s="76"/>
    </row>
    <row r="50" spans="1:29" ht="13.5" customHeight="1" x14ac:dyDescent="0.2">
      <c r="A50" s="3" t="s">
        <v>63</v>
      </c>
      <c r="B50" s="7"/>
      <c r="C50" s="7"/>
      <c r="D50" s="97">
        <f>SUMPRODUCT(ROUND(B21,1))</f>
        <v>0</v>
      </c>
      <c r="E50" s="2" t="s">
        <v>3</v>
      </c>
      <c r="F50" s="4">
        <v>100</v>
      </c>
      <c r="G50" s="103" t="s">
        <v>4</v>
      </c>
      <c r="H50" s="79">
        <f>+D50*F50</f>
        <v>0</v>
      </c>
      <c r="I50" s="8"/>
      <c r="J50" s="7"/>
      <c r="K50" s="7"/>
      <c r="L50" s="7"/>
      <c r="M50" s="7"/>
      <c r="N50" s="7"/>
      <c r="O50" s="7"/>
      <c r="P50" s="7"/>
      <c r="Q50" s="7"/>
      <c r="R50" s="76"/>
      <c r="S50" s="85"/>
      <c r="T50" s="2"/>
      <c r="U50" s="2"/>
      <c r="V50" s="2"/>
      <c r="W50" s="2"/>
      <c r="X50" s="2"/>
      <c r="Y50" s="2"/>
      <c r="Z50" s="2"/>
      <c r="AA50" s="7"/>
      <c r="AB50" s="7"/>
      <c r="AC50" s="76"/>
    </row>
    <row r="51" spans="1:29" ht="12.75" customHeight="1" x14ac:dyDescent="0.2">
      <c r="A51" s="3" t="s">
        <v>61</v>
      </c>
      <c r="B51" s="13">
        <f>+H40</f>
        <v>0</v>
      </c>
      <c r="C51" s="2" t="s">
        <v>2</v>
      </c>
      <c r="D51" s="97">
        <f>SUMPRODUCT(ROUND(B21,1))</f>
        <v>0</v>
      </c>
      <c r="E51" s="2" t="s">
        <v>3</v>
      </c>
      <c r="F51" s="102">
        <v>1.25</v>
      </c>
      <c r="G51" s="103" t="s">
        <v>8</v>
      </c>
      <c r="H51" s="79">
        <f>+(((B51/12)*(D51*43560))/27)*1.25</f>
        <v>0</v>
      </c>
      <c r="I51" s="8"/>
      <c r="J51" s="7"/>
      <c r="K51" s="7"/>
      <c r="L51" s="7"/>
      <c r="M51" s="7"/>
      <c r="N51" s="7"/>
      <c r="O51" s="7"/>
      <c r="P51" s="7"/>
      <c r="Q51" s="7"/>
      <c r="R51" s="76"/>
      <c r="S51" s="85"/>
      <c r="T51" s="2"/>
      <c r="U51" s="2"/>
      <c r="V51" s="2"/>
      <c r="W51" s="2"/>
      <c r="X51" s="2"/>
      <c r="Y51" s="2"/>
      <c r="Z51" s="2"/>
      <c r="AA51" s="7"/>
      <c r="AB51" s="7"/>
      <c r="AC51" s="76"/>
    </row>
    <row r="52" spans="1:29" ht="13.5" customHeight="1" x14ac:dyDescent="0.2">
      <c r="A52" s="47" t="s">
        <v>64</v>
      </c>
      <c r="B52" s="7"/>
      <c r="C52" s="2"/>
      <c r="D52" s="97">
        <f>SUMPRODUCT(ROUND(B22,1))</f>
        <v>0</v>
      </c>
      <c r="E52" s="2" t="s">
        <v>3</v>
      </c>
      <c r="F52" s="4">
        <v>600</v>
      </c>
      <c r="G52" s="4" t="s">
        <v>4</v>
      </c>
      <c r="H52" s="79">
        <f>+D52*F52</f>
        <v>0</v>
      </c>
      <c r="I52" s="8"/>
      <c r="J52" s="7"/>
      <c r="K52" s="7"/>
      <c r="L52" s="7"/>
      <c r="M52" s="7"/>
      <c r="N52" s="7"/>
      <c r="O52" s="7"/>
      <c r="P52" s="7"/>
      <c r="Q52" s="7"/>
      <c r="R52" s="76"/>
      <c r="S52" s="85"/>
      <c r="T52" s="2"/>
      <c r="U52" s="2"/>
      <c r="V52" s="2"/>
      <c r="W52" s="2"/>
      <c r="X52" s="2"/>
      <c r="Y52" s="2"/>
      <c r="Z52" s="2"/>
      <c r="AA52" s="7"/>
      <c r="AB52" s="7"/>
      <c r="AC52" s="76"/>
    </row>
    <row r="53" spans="1:29" ht="13.5" customHeight="1" x14ac:dyDescent="0.2">
      <c r="A53" s="3" t="s">
        <v>66</v>
      </c>
      <c r="B53" s="6"/>
      <c r="C53" s="2"/>
      <c r="D53" s="97">
        <f>SUMPRODUCT(ROUND(B22,1))</f>
        <v>0</v>
      </c>
      <c r="E53" s="2" t="s">
        <v>3</v>
      </c>
      <c r="F53" s="4">
        <v>100</v>
      </c>
      <c r="G53" s="4" t="s">
        <v>4</v>
      </c>
      <c r="H53" s="79">
        <f>+D53*F53</f>
        <v>0</v>
      </c>
      <c r="I53" s="8"/>
      <c r="J53" s="7"/>
      <c r="K53" s="7"/>
      <c r="L53" s="7"/>
      <c r="M53" s="7"/>
      <c r="N53" s="7"/>
      <c r="O53" s="7"/>
      <c r="P53" s="7"/>
      <c r="Q53" s="7"/>
      <c r="R53" s="76"/>
      <c r="S53" s="85"/>
      <c r="T53" s="2"/>
      <c r="U53" s="2"/>
      <c r="V53" s="2"/>
      <c r="W53" s="2"/>
      <c r="X53" s="2"/>
      <c r="Y53" s="2"/>
      <c r="Z53" s="2"/>
      <c r="AA53" s="7"/>
      <c r="AB53" s="7"/>
      <c r="AC53" s="76"/>
    </row>
    <row r="54" spans="1:29" ht="13.5" customHeight="1" x14ac:dyDescent="0.2">
      <c r="A54" s="3" t="s">
        <v>65</v>
      </c>
      <c r="B54" s="6"/>
      <c r="C54" s="2"/>
      <c r="D54" s="117"/>
      <c r="E54" s="2" t="s">
        <v>42</v>
      </c>
      <c r="F54" s="102">
        <v>1.4</v>
      </c>
      <c r="G54" s="4" t="s">
        <v>9</v>
      </c>
      <c r="H54" s="79">
        <f t="shared" ref="H54:H60" si="0">+D54*F54</f>
        <v>0</v>
      </c>
      <c r="I54" s="8"/>
      <c r="J54" s="7"/>
      <c r="K54" s="7"/>
      <c r="L54" s="7"/>
      <c r="M54" s="7"/>
      <c r="N54" s="7"/>
      <c r="O54" s="7"/>
      <c r="P54" s="7"/>
      <c r="Q54" s="7"/>
      <c r="R54" s="76"/>
      <c r="S54" s="8"/>
      <c r="T54" s="7"/>
      <c r="U54" s="7"/>
      <c r="V54" s="7"/>
      <c r="W54" s="7"/>
      <c r="X54" s="7"/>
      <c r="Y54" s="7"/>
      <c r="Z54" s="7"/>
      <c r="AA54" s="7"/>
      <c r="AB54" s="7"/>
      <c r="AC54" s="76"/>
    </row>
    <row r="55" spans="1:29" ht="13.5" customHeight="1" x14ac:dyDescent="0.2">
      <c r="A55" s="157" t="s">
        <v>67</v>
      </c>
      <c r="B55" s="158"/>
      <c r="C55" s="158"/>
      <c r="D55" s="117"/>
      <c r="E55" s="9" t="s">
        <v>7</v>
      </c>
      <c r="F55" s="29">
        <v>4</v>
      </c>
      <c r="G55" s="29" t="s">
        <v>8</v>
      </c>
      <c r="H55" s="79">
        <f t="shared" si="0"/>
        <v>0</v>
      </c>
      <c r="I55" s="8"/>
      <c r="J55" s="7"/>
      <c r="K55" s="7"/>
      <c r="L55" s="7"/>
      <c r="M55" s="7"/>
      <c r="N55" s="7"/>
      <c r="O55" s="7"/>
      <c r="P55" s="7"/>
      <c r="Q55" s="7"/>
      <c r="R55" s="76"/>
      <c r="S55" s="8"/>
      <c r="T55" s="7"/>
      <c r="U55" s="7"/>
      <c r="V55" s="7"/>
      <c r="W55" s="7"/>
      <c r="X55" s="7"/>
      <c r="Y55" s="7"/>
      <c r="Z55" s="7"/>
      <c r="AA55" s="7"/>
      <c r="AB55" s="7"/>
      <c r="AC55" s="76"/>
    </row>
    <row r="56" spans="1:29" ht="13.5" customHeight="1" x14ac:dyDescent="0.2">
      <c r="A56" s="159" t="s">
        <v>126</v>
      </c>
      <c r="B56" s="158"/>
      <c r="C56" s="158"/>
      <c r="D56" s="117"/>
      <c r="E56" s="89" t="s">
        <v>7</v>
      </c>
      <c r="F56" s="29">
        <v>18</v>
      </c>
      <c r="G56" s="90" t="s">
        <v>8</v>
      </c>
      <c r="H56" s="79">
        <f t="shared" si="0"/>
        <v>0</v>
      </c>
      <c r="I56" s="8"/>
      <c r="J56" s="7"/>
      <c r="K56" s="7"/>
      <c r="L56" s="7"/>
      <c r="M56" s="7"/>
      <c r="N56" s="7"/>
      <c r="O56" s="7"/>
      <c r="P56" s="7"/>
      <c r="Q56" s="7"/>
      <c r="R56" s="76"/>
      <c r="S56" s="8"/>
      <c r="T56" s="7"/>
      <c r="U56" s="7"/>
      <c r="V56" s="7"/>
      <c r="W56" s="7"/>
      <c r="X56" s="7"/>
      <c r="Y56" s="7"/>
      <c r="Z56" s="7"/>
      <c r="AA56" s="7"/>
      <c r="AB56" s="7"/>
      <c r="AC56" s="76"/>
    </row>
    <row r="57" spans="1:29" ht="13.5" customHeight="1" x14ac:dyDescent="0.2">
      <c r="A57" s="160" t="s">
        <v>127</v>
      </c>
      <c r="B57" s="161"/>
      <c r="C57" s="161"/>
      <c r="D57" s="117"/>
      <c r="E57" s="91" t="s">
        <v>7</v>
      </c>
      <c r="F57" s="92">
        <v>1</v>
      </c>
      <c r="G57" s="93" t="s">
        <v>8</v>
      </c>
      <c r="H57" s="79">
        <f>+D57*F57</f>
        <v>0</v>
      </c>
      <c r="I57" s="8"/>
      <c r="J57" s="7"/>
      <c r="K57" s="7"/>
      <c r="L57" s="7"/>
      <c r="M57" s="7"/>
      <c r="N57" s="7"/>
      <c r="O57" s="7"/>
      <c r="P57" s="7"/>
      <c r="Q57" s="7"/>
      <c r="R57" s="76"/>
      <c r="S57" s="8"/>
      <c r="T57" s="7"/>
      <c r="U57" s="7"/>
      <c r="V57" s="7"/>
      <c r="W57" s="7"/>
      <c r="X57" s="7"/>
      <c r="Y57" s="7"/>
      <c r="Z57" s="7"/>
      <c r="AA57" s="7"/>
      <c r="AB57" s="7"/>
      <c r="AC57" s="76"/>
    </row>
    <row r="58" spans="1:29" ht="13.5" customHeight="1" x14ac:dyDescent="0.2">
      <c r="A58" s="150"/>
      <c r="B58" s="151"/>
      <c r="C58" s="152"/>
      <c r="D58" s="117"/>
      <c r="E58" s="117"/>
      <c r="F58" s="117"/>
      <c r="G58" s="117"/>
      <c r="H58" s="79">
        <f>+D58*F58</f>
        <v>0</v>
      </c>
      <c r="I58" s="8"/>
      <c r="J58" s="7"/>
      <c r="K58" s="7"/>
      <c r="L58" s="7"/>
      <c r="M58" s="7"/>
      <c r="N58" s="7"/>
      <c r="O58" s="7"/>
      <c r="P58" s="7"/>
      <c r="Q58" s="7"/>
      <c r="R58" s="76"/>
      <c r="S58" s="8"/>
      <c r="T58" s="7"/>
      <c r="U58" s="7"/>
      <c r="V58" s="7"/>
      <c r="W58" s="7"/>
      <c r="X58" s="7"/>
      <c r="Y58" s="7"/>
      <c r="Z58" s="7"/>
      <c r="AA58" s="7"/>
      <c r="AB58" s="7"/>
      <c r="AC58" s="76"/>
    </row>
    <row r="59" spans="1:29" ht="13.5" customHeight="1" x14ac:dyDescent="0.2">
      <c r="A59" s="150"/>
      <c r="B59" s="151"/>
      <c r="C59" s="152"/>
      <c r="D59" s="117"/>
      <c r="E59" s="117"/>
      <c r="F59" s="117"/>
      <c r="G59" s="117"/>
      <c r="H59" s="79">
        <f>+D59*F59</f>
        <v>0</v>
      </c>
      <c r="I59" s="8"/>
      <c r="J59" s="7"/>
      <c r="K59" s="7"/>
      <c r="L59" s="7"/>
      <c r="M59" s="7"/>
      <c r="N59" s="7"/>
      <c r="O59" s="7"/>
      <c r="P59" s="7"/>
      <c r="Q59" s="7"/>
      <c r="R59" s="76"/>
      <c r="S59" s="8"/>
      <c r="T59" s="7"/>
      <c r="U59" s="7"/>
      <c r="V59" s="7"/>
      <c r="W59" s="7"/>
      <c r="X59" s="7"/>
      <c r="Y59" s="7"/>
      <c r="Z59" s="7"/>
      <c r="AA59" s="7"/>
      <c r="AB59" s="7"/>
      <c r="AC59" s="76"/>
    </row>
    <row r="60" spans="1:29" ht="13.5" customHeight="1" x14ac:dyDescent="0.2">
      <c r="A60" s="150"/>
      <c r="B60" s="151"/>
      <c r="C60" s="152"/>
      <c r="D60" s="117"/>
      <c r="E60" s="117"/>
      <c r="F60" s="117"/>
      <c r="G60" s="117"/>
      <c r="H60" s="79">
        <f t="shared" si="0"/>
        <v>0</v>
      </c>
      <c r="I60" s="8"/>
      <c r="J60" s="7"/>
      <c r="K60" s="7"/>
      <c r="L60" s="7"/>
      <c r="M60" s="7"/>
      <c r="N60" s="7"/>
      <c r="O60" s="7"/>
      <c r="P60" s="7"/>
      <c r="Q60" s="7"/>
      <c r="R60" s="76"/>
      <c r="S60" s="8"/>
      <c r="T60" s="7"/>
      <c r="U60" s="7"/>
      <c r="V60" s="7"/>
      <c r="W60" s="7"/>
      <c r="X60" s="7"/>
      <c r="Y60" s="7"/>
      <c r="Z60" s="7"/>
      <c r="AA60" s="7"/>
      <c r="AB60" s="7"/>
      <c r="AC60" s="76"/>
    </row>
    <row r="61" spans="1:29" ht="13.5" customHeight="1" x14ac:dyDescent="0.2">
      <c r="A61" s="123"/>
      <c r="B61" s="123"/>
      <c r="C61" s="123"/>
      <c r="D61" s="123"/>
      <c r="E61" s="123"/>
      <c r="F61" s="123"/>
      <c r="G61" s="124" t="s">
        <v>133</v>
      </c>
      <c r="H61" s="79">
        <f>SUM(H43:H60)</f>
        <v>0</v>
      </c>
      <c r="I61" s="8"/>
      <c r="J61" s="7"/>
      <c r="K61" s="7"/>
      <c r="L61" s="7"/>
      <c r="M61" s="7"/>
      <c r="N61" s="7"/>
      <c r="O61" s="7"/>
      <c r="P61" s="7"/>
      <c r="Q61" s="7"/>
      <c r="R61" s="76"/>
      <c r="S61" s="8"/>
      <c r="T61" s="7"/>
      <c r="U61" s="7"/>
      <c r="V61" s="7"/>
      <c r="W61" s="7"/>
      <c r="X61" s="7"/>
      <c r="Y61" s="7"/>
      <c r="Z61" s="7"/>
      <c r="AA61" s="7"/>
      <c r="AB61" s="7"/>
      <c r="AC61" s="76"/>
    </row>
    <row r="62" spans="1:29" ht="13.5" customHeight="1" x14ac:dyDescent="0.2">
      <c r="A62" s="121" t="s">
        <v>131</v>
      </c>
      <c r="B62" s="120"/>
      <c r="C62" s="120"/>
      <c r="D62" s="120"/>
      <c r="E62" s="120"/>
      <c r="F62" s="122"/>
      <c r="G62" s="29"/>
      <c r="H62" s="80"/>
      <c r="I62" s="8"/>
      <c r="J62" s="7"/>
      <c r="K62" s="7"/>
      <c r="L62" s="7"/>
      <c r="M62" s="7"/>
      <c r="N62" s="7"/>
      <c r="O62" s="7"/>
      <c r="P62" s="7"/>
      <c r="Q62" s="7"/>
      <c r="R62" s="76"/>
      <c r="S62" s="8"/>
      <c r="T62" s="7"/>
      <c r="U62" s="7"/>
      <c r="V62" s="7"/>
      <c r="W62" s="7"/>
      <c r="X62" s="7"/>
      <c r="Y62" s="7"/>
      <c r="Z62" s="7"/>
      <c r="AA62" s="7"/>
      <c r="AB62" s="7"/>
      <c r="AC62" s="76"/>
    </row>
    <row r="63" spans="1:29" ht="13.5" customHeight="1" x14ac:dyDescent="0.2">
      <c r="A63" s="171" t="s">
        <v>132</v>
      </c>
      <c r="B63" s="172"/>
      <c r="C63" s="172"/>
      <c r="D63" s="172"/>
      <c r="E63" s="172"/>
      <c r="F63" s="172"/>
      <c r="G63" s="172"/>
      <c r="H63" s="81">
        <f>IF(H61&lt;800000,H61*0.25,IF(H61&gt;800000,H61*0.2))</f>
        <v>0</v>
      </c>
      <c r="I63" s="8"/>
      <c r="J63" s="7"/>
      <c r="K63" s="7"/>
      <c r="L63" s="7"/>
      <c r="M63" s="7"/>
      <c r="N63" s="7"/>
      <c r="O63" s="7"/>
      <c r="P63" s="7"/>
      <c r="Q63" s="7"/>
      <c r="R63" s="76"/>
      <c r="S63" s="8"/>
      <c r="T63" s="7"/>
      <c r="U63" s="7"/>
      <c r="V63" s="7"/>
      <c r="W63" s="7"/>
      <c r="X63" s="7"/>
      <c r="Y63" s="7"/>
      <c r="Z63" s="7"/>
      <c r="AA63" s="7"/>
      <c r="AB63" s="7"/>
      <c r="AC63" s="76"/>
    </row>
    <row r="64" spans="1:29" x14ac:dyDescent="0.2">
      <c r="A64" s="49"/>
      <c r="B64" s="52"/>
      <c r="C64" s="7"/>
      <c r="D64" s="7"/>
      <c r="E64" s="7"/>
      <c r="F64" s="7"/>
      <c r="G64" s="7"/>
      <c r="H64" s="76"/>
      <c r="I64" s="8"/>
      <c r="J64" s="7"/>
      <c r="K64" s="7"/>
      <c r="L64" s="7"/>
      <c r="M64" s="7"/>
      <c r="N64" s="7"/>
      <c r="O64" s="7"/>
      <c r="P64" s="7"/>
      <c r="Q64" s="7"/>
      <c r="R64" s="76"/>
      <c r="S64" s="8"/>
      <c r="T64" s="7"/>
      <c r="U64" s="7"/>
      <c r="V64" s="7"/>
      <c r="W64" s="7"/>
      <c r="X64" s="7"/>
      <c r="Y64" s="7"/>
      <c r="Z64" s="7"/>
      <c r="AA64" s="7"/>
      <c r="AB64" s="7"/>
      <c r="AC64" s="76"/>
    </row>
    <row r="65" spans="1:31" ht="15.75" thickBot="1" x14ac:dyDescent="0.3">
      <c r="A65" s="48" t="s">
        <v>72</v>
      </c>
      <c r="B65" s="38">
        <f>B22</f>
        <v>0</v>
      </c>
      <c r="C65" s="145" t="s">
        <v>69</v>
      </c>
      <c r="D65" s="146"/>
      <c r="E65" s="147"/>
      <c r="F65" s="50" t="e">
        <f>+H65/B65</f>
        <v>#DIV/0!</v>
      </c>
      <c r="G65" s="53" t="s">
        <v>128</v>
      </c>
      <c r="H65" s="96">
        <f>IF(H61+H63&lt;25000,25000,IF(H61+H63&gt;25000,H61+H63))</f>
        <v>25000</v>
      </c>
      <c r="I65" s="82"/>
      <c r="J65" s="83"/>
      <c r="K65" s="83"/>
      <c r="L65" s="83"/>
      <c r="M65" s="83"/>
      <c r="N65" s="83"/>
      <c r="O65" s="83"/>
      <c r="P65" s="83"/>
      <c r="Q65" s="83"/>
      <c r="R65" s="84"/>
      <c r="S65" s="82"/>
      <c r="T65" s="83"/>
      <c r="U65" s="83"/>
      <c r="V65" s="83"/>
      <c r="W65" s="83"/>
      <c r="X65" s="83"/>
      <c r="Y65" s="83"/>
      <c r="Z65" s="83"/>
      <c r="AA65" s="83"/>
      <c r="AB65" s="83"/>
      <c r="AC65" s="84"/>
      <c r="AD65" s="7"/>
      <c r="AE65" s="7"/>
    </row>
    <row r="66" spans="1:31" x14ac:dyDescent="0.2">
      <c r="F66" s="7"/>
      <c r="S66" s="36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x14ac:dyDescent="0.2">
      <c r="F67" s="7"/>
      <c r="S67" s="36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x14ac:dyDescent="0.2">
      <c r="F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x14ac:dyDescent="0.2"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 x14ac:dyDescent="0.2"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x14ac:dyDescent="0.2"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x14ac:dyDescent="0.2"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x14ac:dyDescent="0.2"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</sheetData>
  <sheetProtection algorithmName="SHA-512" hashValue="mqgLzWFjogHVcEsEa4ktS2TkbxqHRhW4Zm4Ikxp+boRCIYYcaVpEC00nP+wfp8LBH+Ayn8Zag0jHMNJDOBnpHg==" saltValue="xDIf124fLcMvZGPq9e1RxQ==" spinCount="100000" sheet="1" objects="1" scenarios="1"/>
  <customSheetViews>
    <customSheetView guid="{7BD906AA-836F-4B76-8E07-293A24CA4AE2}" showPageBreaks="1" showGridLines="0" printArea="1" hiddenRows="1" view="pageLayout">
      <selection activeCell="A25" sqref="A25:G25"/>
      <colBreaks count="1" manualBreakCount="1">
        <brk id="8" max="1048575" man="1"/>
      </colBreaks>
      <pageMargins left="0.84" right="0.75" top="0.74" bottom="0.5" header="0" footer="0"/>
      <pageSetup scale="78" orientation="portrait" horizontalDpi="300" verticalDpi="300" r:id="rId1"/>
      <headerFooter alignWithMargins="0">
        <oddHeader>&amp;C&amp;"Times New Roman,Bold"&amp;8DEQ OPENCUT MINING PROGRAM&amp;"Times New Roman,Regular" • PO BOX 200901 • HELENA MT 59620-0901 • PHONE: 406-444-4970 • FAX: 406-444-4988 • Email: DEQOpencut@mt.gov</oddHeader>
        <oddFooter xml:space="preserve">&amp;C&amp;"Times New Roman,Regular"&amp;8Reclamation Bond Spreadsheet (06/11&amp;K000000) - Page 1 of 1
</oddFooter>
      </headerFooter>
    </customSheetView>
    <customSheetView guid="{1B10C37A-FF60-480C-9A5E-72479D1F69DA}" showPageBreaks="1" showGridLines="0" printArea="1" hiddenRows="1" view="pageLayout" topLeftCell="A19">
      <selection activeCell="A25" sqref="A25:G25"/>
      <colBreaks count="1" manualBreakCount="1">
        <brk id="8" max="1048575" man="1"/>
      </colBreaks>
      <pageMargins left="0.84" right="0.75" top="0.74" bottom="0.5" header="0" footer="0"/>
      <pageSetup scale="78" orientation="portrait" horizontalDpi="300" verticalDpi="300" r:id="rId2"/>
      <headerFooter alignWithMargins="0">
        <oddHeader>&amp;C&amp;"Times New Roman,Bold"&amp;8DEQ OPENCUT MINING PROGRAM&amp;"Times New Roman,Regular" • PO BOX 200901 • HELENA MT 59620-0901 • PHONE: 406-444-4970 • FAX: 406-444-4988 • Email: DEQOpencut@mt.gov</oddHeader>
        <oddFooter xml:space="preserve">&amp;C&amp;"Times New Roman,Regular"&amp;8Reclamation Bond Spreadsheet (06/11&amp;K000000) - Page 1 of 1
</oddFooter>
      </headerFooter>
    </customSheetView>
  </customSheetViews>
  <mergeCells count="54">
    <mergeCell ref="U33:AC33"/>
    <mergeCell ref="U16:AC16"/>
    <mergeCell ref="U24:AC24"/>
    <mergeCell ref="A44:C44"/>
    <mergeCell ref="A43:C43"/>
    <mergeCell ref="A34:H34"/>
    <mergeCell ref="D40:E40"/>
    <mergeCell ref="E12:H22"/>
    <mergeCell ref="U25:AC25"/>
    <mergeCell ref="U19:AC19"/>
    <mergeCell ref="U18:AC18"/>
    <mergeCell ref="U20:AC20"/>
    <mergeCell ref="U21:AC21"/>
    <mergeCell ref="U22:AC22"/>
    <mergeCell ref="U23:AC23"/>
    <mergeCell ref="K31:O31"/>
    <mergeCell ref="T4:AC4"/>
    <mergeCell ref="U15:AC15"/>
    <mergeCell ref="U11:AC11"/>
    <mergeCell ref="U12:AC12"/>
    <mergeCell ref="U32:AC32"/>
    <mergeCell ref="U14:AC14"/>
    <mergeCell ref="U28:AC29"/>
    <mergeCell ref="U27:AC27"/>
    <mergeCell ref="T5:AC6"/>
    <mergeCell ref="T7:AC8"/>
    <mergeCell ref="C65:E65"/>
    <mergeCell ref="A15:B15"/>
    <mergeCell ref="A59:C59"/>
    <mergeCell ref="D31:E31"/>
    <mergeCell ref="D27:E27"/>
    <mergeCell ref="A58:C58"/>
    <mergeCell ref="A55:C55"/>
    <mergeCell ref="A56:C56"/>
    <mergeCell ref="A57:C57"/>
    <mergeCell ref="D39:E39"/>
    <mergeCell ref="D41:G41"/>
    <mergeCell ref="F42:G42"/>
    <mergeCell ref="D35:E35"/>
    <mergeCell ref="A30:H30"/>
    <mergeCell ref="A63:G63"/>
    <mergeCell ref="A60:C60"/>
    <mergeCell ref="B6:G6"/>
    <mergeCell ref="J5:K5"/>
    <mergeCell ref="A25:H25"/>
    <mergeCell ref="J2:Q2"/>
    <mergeCell ref="A2:H2"/>
    <mergeCell ref="J3:Q3"/>
    <mergeCell ref="M5:Q5"/>
    <mergeCell ref="M12:Q12"/>
    <mergeCell ref="B7:G7"/>
    <mergeCell ref="A12:D12"/>
    <mergeCell ref="B8:G8"/>
    <mergeCell ref="B9:G9"/>
  </mergeCells>
  <phoneticPr fontId="0" type="noConversion"/>
  <pageMargins left="0.84" right="0.75" top="0.74" bottom="0.5" header="0" footer="0"/>
  <pageSetup scale="78" orientation="portrait" r:id="rId3"/>
  <headerFooter alignWithMargins="0">
    <oddHeader>&amp;C&amp;"Times New Roman,Bold"&amp;8DEQ OPENCUT MINING SECTION&amp;"Times New Roman,Regular" • PO BOX 200901 • HELENA MT 59620-0901 • PHONE: 406-444-4970 • Email: DEQOpencut@mt.gov</oddHeader>
    <oddFooter xml:space="preserve">&amp;CReclamation Bond Spreadsheet (09/21) - Page 1 of 1&amp;"Times New Roman,Regular"&amp;8&amp;K000000
</oddFooter>
  </headerFooter>
  <colBreaks count="1" manualBreakCount="1">
    <brk id="8" max="1048575" man="1"/>
  </colBreaks>
  <ignoredErrors>
    <ignoredError sqref="S4:S5 S7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Bond Form</vt:lpstr>
      <vt:lpstr>'Bond Form'!Print_Area</vt:lpstr>
    </vt:vector>
  </TitlesOfParts>
  <Company>MT Environmental 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 User</dc:creator>
  <cp:lastModifiedBy>Conner, JJ</cp:lastModifiedBy>
  <cp:lastPrinted>2016-11-07T18:05:14Z</cp:lastPrinted>
  <dcterms:created xsi:type="dcterms:W3CDTF">1999-04-12T20:24:25Z</dcterms:created>
  <dcterms:modified xsi:type="dcterms:W3CDTF">2021-09-07T13:03:12Z</dcterms:modified>
</cp:coreProperties>
</file>