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omments1.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comments3.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ml.chartshape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Z:\Energy\Documents\Energy_Statistics\"/>
    </mc:Choice>
  </mc:AlternateContent>
  <xr:revisionPtr revIDLastSave="0" documentId="8_{3B7E6CA2-B279-4702-9048-49104FE081F1}" xr6:coauthVersionLast="47" xr6:coauthVersionMax="47" xr10:uidLastSave="{00000000-0000-0000-0000-000000000000}"/>
  <bookViews>
    <workbookView xWindow="9600" yWindow="1875" windowWidth="25410" windowHeight="18975" xr2:uid="{00000000-000D-0000-FFFF-FFFF00000000}"/>
  </bookViews>
  <sheets>
    <sheet name="Table E1" sheetId="9" r:id="rId1"/>
    <sheet name="Charts E1a, E1b" sheetId="17" r:id="rId2"/>
    <sheet name="Table E2" sheetId="8" r:id="rId3"/>
    <sheet name="Table E3" sheetId="7" r:id="rId4"/>
    <sheet name="Chart E3a" sheetId="18" r:id="rId5"/>
    <sheet name="Chart E3b" sheetId="19" r:id="rId6"/>
    <sheet name="Table E4" sheetId="6" r:id="rId7"/>
    <sheet name="Table E5" sheetId="5" r:id="rId8"/>
    <sheet name="Table E6" sheetId="4" r:id="rId9"/>
    <sheet name="Table E7" sheetId="3" r:id="rId10"/>
    <sheet name="Table E8" sheetId="12" r:id="rId11"/>
    <sheet name="Table E8a" sheetId="20" r:id="rId12"/>
    <sheet name="Table E9" sheetId="15" r:id="rId13"/>
    <sheet name="Chart E10" sheetId="13" r:id="rId14"/>
  </sheets>
  <externalReferences>
    <externalReference r:id="rId15"/>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5" l="1"/>
  <c r="E70" i="15" s="1"/>
  <c r="C70" i="15"/>
  <c r="N78" i="12"/>
  <c r="N77" i="12"/>
  <c r="N76" i="12"/>
  <c r="N75" i="12"/>
  <c r="M59" i="12"/>
  <c r="K59" i="12"/>
  <c r="M49" i="12"/>
  <c r="K49" i="12"/>
  <c r="J49" i="12"/>
  <c r="H49" i="12"/>
  <c r="I49" i="12" s="1"/>
  <c r="G49" i="12"/>
  <c r="E49" i="12"/>
  <c r="F49" i="12" s="1"/>
  <c r="D49" i="12"/>
  <c r="B49" i="12"/>
  <c r="L52" i="12"/>
  <c r="L51" i="12"/>
  <c r="I52" i="12"/>
  <c r="I51" i="12"/>
  <c r="F52" i="12"/>
  <c r="F51" i="12"/>
  <c r="C52" i="12"/>
  <c r="C51" i="12"/>
  <c r="I56" i="12"/>
  <c r="L56" i="12"/>
  <c r="I57" i="12"/>
  <c r="L57" i="12"/>
  <c r="M45" i="12"/>
  <c r="K45" i="12"/>
  <c r="L45" i="12" s="1"/>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23" i="20"/>
  <c r="F22" i="20"/>
  <c r="F21" i="20"/>
  <c r="F18" i="20"/>
  <c r="F17" i="20"/>
  <c r="F16" i="20"/>
  <c r="F14" i="20"/>
  <c r="F13" i="20"/>
  <c r="F12" i="20"/>
  <c r="F9" i="20"/>
  <c r="F8" i="20"/>
  <c r="F7" i="20"/>
  <c r="F6" i="20"/>
  <c r="F5" i="20"/>
  <c r="G53" i="20"/>
  <c r="E53" i="20"/>
  <c r="K55" i="12"/>
  <c r="L55" i="12" s="1"/>
  <c r="H55" i="12"/>
  <c r="I55" i="12" s="1"/>
  <c r="L49" i="12"/>
  <c r="F55" i="12"/>
  <c r="L53" i="12"/>
  <c r="I53" i="12"/>
  <c r="F53" i="12"/>
  <c r="C53" i="12"/>
  <c r="L50" i="12"/>
  <c r="I50" i="12"/>
  <c r="F50" i="12"/>
  <c r="C50" i="12"/>
  <c r="L47" i="12"/>
  <c r="I47" i="12"/>
  <c r="F47" i="12"/>
  <c r="C47" i="12"/>
  <c r="C69" i="5"/>
  <c r="E69" i="5"/>
  <c r="G69" i="5"/>
  <c r="I69" i="5"/>
  <c r="K69" i="5"/>
  <c r="M69" i="5"/>
  <c r="O69" i="5"/>
  <c r="C49" i="12" l="1"/>
  <c r="L59" i="12"/>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37" i="3"/>
  <c r="K36"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37" i="3"/>
  <c r="J36"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37" i="3"/>
  <c r="I36"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37" i="3"/>
  <c r="H36" i="3"/>
  <c r="I25" i="7"/>
  <c r="I24" i="7"/>
  <c r="I23" i="7"/>
  <c r="I22" i="7"/>
  <c r="I21" i="7"/>
  <c r="I20" i="7"/>
  <c r="I19" i="7"/>
  <c r="I18" i="7"/>
  <c r="I17" i="7"/>
  <c r="I16" i="7"/>
  <c r="I15" i="7"/>
  <c r="I14" i="7"/>
  <c r="I13" i="7"/>
  <c r="I12" i="7"/>
  <c r="I11" i="7"/>
  <c r="I10" i="7"/>
  <c r="I9" i="7"/>
  <c r="H24" i="7"/>
  <c r="H19" i="7"/>
  <c r="U152" i="8"/>
  <c r="E45" i="7"/>
  <c r="E28" i="7"/>
  <c r="E23" i="7"/>
  <c r="U84" i="8" l="1"/>
  <c r="U83" i="8"/>
  <c r="U76" i="8"/>
  <c r="T152" i="8"/>
  <c r="U151" i="8"/>
  <c r="U148" i="8"/>
  <c r="U147" i="8"/>
  <c r="U146" i="8"/>
  <c r="U143" i="8"/>
  <c r="U140" i="8"/>
  <c r="U137" i="8"/>
  <c r="U134" i="8"/>
  <c r="U130" i="8"/>
  <c r="U121" i="8"/>
  <c r="U118" i="8"/>
  <c r="U113" i="8"/>
  <c r="U104" i="8"/>
  <c r="U103" i="8"/>
  <c r="U102" i="8"/>
  <c r="U101" i="8"/>
  <c r="U100" i="8"/>
  <c r="U99" i="8"/>
  <c r="U98" i="8"/>
  <c r="U97" i="8"/>
  <c r="U96" i="8"/>
  <c r="U95" i="8"/>
  <c r="U94" i="8"/>
  <c r="U93" i="8"/>
  <c r="U92" i="8"/>
  <c r="U91" i="8"/>
  <c r="U90" i="8"/>
  <c r="U87" i="8"/>
  <c r="U80" i="8"/>
  <c r="U77" i="8"/>
  <c r="U75" i="8"/>
  <c r="U74" i="8"/>
  <c r="U71" i="8"/>
  <c r="U65" i="8"/>
  <c r="U64" i="8"/>
  <c r="U63" i="8"/>
  <c r="U57" i="8"/>
  <c r="U54" i="8"/>
  <c r="U51" i="8"/>
  <c r="U45" i="8"/>
  <c r="U44" i="8"/>
  <c r="U43" i="8"/>
  <c r="U37" i="8"/>
  <c r="U34" i="8"/>
  <c r="U31" i="8"/>
  <c r="U30" i="8"/>
  <c r="U24" i="8"/>
  <c r="U23" i="8"/>
  <c r="U22" i="8"/>
  <c r="U19" i="8"/>
  <c r="U16" i="8"/>
  <c r="U13" i="8"/>
  <c r="U10" i="8"/>
  <c r="T90" i="8" l="1"/>
  <c r="T57" i="8"/>
  <c r="Y48" i="13"/>
  <c r="X48" i="13"/>
  <c r="U7" i="8" l="1"/>
  <c r="G51" i="20" l="1"/>
  <c r="G14" i="20"/>
  <c r="G9" i="20"/>
  <c r="E51" i="20"/>
  <c r="E18" i="20"/>
  <c r="E14" i="20"/>
  <c r="E9" i="20"/>
  <c r="C69" i="15" l="1"/>
  <c r="D69" i="15"/>
  <c r="K35" i="12"/>
  <c r="L35" i="12" s="1"/>
  <c r="M35" i="12"/>
  <c r="L33" i="12"/>
  <c r="I33" i="12"/>
  <c r="F33" i="12"/>
  <c r="M31" i="12"/>
  <c r="K31" i="12"/>
  <c r="L31" i="12" s="1"/>
  <c r="I31" i="12"/>
  <c r="F31" i="12"/>
  <c r="C31" i="12"/>
  <c r="M30" i="12"/>
  <c r="K30" i="12"/>
  <c r="L30" i="12" s="1"/>
  <c r="I30" i="12"/>
  <c r="F30" i="12"/>
  <c r="C30" i="12"/>
  <c r="L29" i="12"/>
  <c r="I29" i="12"/>
  <c r="F29" i="12"/>
  <c r="C29" i="12"/>
  <c r="L27" i="12"/>
  <c r="I27" i="12"/>
  <c r="F27" i="12"/>
  <c r="C27" i="12"/>
  <c r="L25" i="12"/>
  <c r="E69" i="15" l="1"/>
  <c r="O68" i="5"/>
  <c r="M68" i="5"/>
  <c r="K68" i="5"/>
  <c r="I68" i="5"/>
  <c r="G68" i="5"/>
  <c r="E68" i="5"/>
  <c r="C68" i="5"/>
  <c r="U124" i="8"/>
  <c r="U117" i="8"/>
  <c r="U110" i="8"/>
  <c r="U48" i="8"/>
  <c r="U47" i="8"/>
  <c r="U46" i="8"/>
  <c r="U127" i="8"/>
  <c r="E9" i="7" s="1"/>
  <c r="U114" i="8"/>
  <c r="U107" i="8"/>
  <c r="U68" i="8"/>
  <c r="U60" i="8"/>
  <c r="U40" i="8"/>
  <c r="E19" i="7" s="1"/>
  <c r="U27" i="8"/>
  <c r="E10" i="7"/>
  <c r="E41" i="7" l="1"/>
  <c r="E44" i="7"/>
  <c r="H21" i="7" s="1"/>
  <c r="E43" i="7"/>
  <c r="H14" i="7" s="1"/>
  <c r="E42" i="7"/>
  <c r="E40" i="7"/>
  <c r="E39" i="7"/>
  <c r="E37" i="7"/>
  <c r="H18" i="7" s="1"/>
  <c r="E34" i="7"/>
  <c r="E32" i="7"/>
  <c r="E31" i="7"/>
  <c r="E29" i="7"/>
  <c r="E27" i="7"/>
  <c r="E26" i="7"/>
  <c r="H22" i="7" s="1"/>
  <c r="E25" i="7"/>
  <c r="H20" i="7" s="1"/>
  <c r="E24" i="7"/>
  <c r="E22" i="7"/>
  <c r="E21" i="7"/>
  <c r="E20" i="7"/>
  <c r="E18" i="7"/>
  <c r="E17" i="7"/>
  <c r="E16" i="7"/>
  <c r="H12" i="7" s="1"/>
  <c r="E15" i="7"/>
  <c r="H23" i="7" s="1"/>
  <c r="E14" i="7"/>
  <c r="H17" i="7" s="1"/>
  <c r="E13" i="7"/>
  <c r="E12" i="7"/>
  <c r="S90" i="8" l="1"/>
  <c r="S152" i="8" s="1"/>
  <c r="F101" i="9" l="1"/>
  <c r="R90" i="8"/>
  <c r="R152" i="8" l="1"/>
  <c r="D90" i="8"/>
  <c r="E90" i="8"/>
  <c r="E30" i="7" l="1"/>
  <c r="H9" i="7" s="1"/>
  <c r="Q90" i="8"/>
  <c r="Q152" i="8" s="1"/>
  <c r="P90" i="8"/>
  <c r="P152" i="8" s="1"/>
  <c r="O90" i="8"/>
  <c r="O152" i="8" s="1"/>
  <c r="N90" i="8"/>
  <c r="N152" i="8" s="1"/>
  <c r="M90" i="8"/>
  <c r="M152" i="8" s="1"/>
  <c r="L90" i="8"/>
  <c r="K90" i="8"/>
  <c r="J90" i="8"/>
  <c r="J152" i="8" s="1"/>
  <c r="I90" i="8"/>
  <c r="H90" i="8"/>
  <c r="G90" i="8"/>
  <c r="V90" i="8" l="1"/>
  <c r="X90" i="8" s="1"/>
  <c r="W90" i="8"/>
  <c r="F90" i="8"/>
  <c r="K8" i="12"/>
  <c r="E68" i="15"/>
  <c r="C67" i="5"/>
  <c r="E67" i="5"/>
  <c r="G67" i="5"/>
  <c r="I67" i="5"/>
  <c r="K67" i="5"/>
  <c r="M67" i="5"/>
  <c r="O67" i="5"/>
  <c r="E67" i="15" l="1"/>
  <c r="V140" i="8"/>
  <c r="V127" i="8"/>
  <c r="V121" i="8"/>
  <c r="V114" i="8"/>
  <c r="V48" i="8"/>
  <c r="V47" i="8"/>
  <c r="V46" i="8"/>
  <c r="V45" i="8"/>
  <c r="V44" i="8"/>
  <c r="V43" i="8"/>
  <c r="V40" i="8"/>
  <c r="V37" i="8"/>
  <c r="V151" i="8"/>
  <c r="V148" i="8"/>
  <c r="V147" i="8"/>
  <c r="V146" i="8"/>
  <c r="V143" i="8"/>
  <c r="V137" i="8"/>
  <c r="V134" i="8"/>
  <c r="V130" i="8"/>
  <c r="V124" i="8"/>
  <c r="V117" i="8"/>
  <c r="V113" i="8"/>
  <c r="V110" i="8"/>
  <c r="V107" i="8"/>
  <c r="V104" i="8"/>
  <c r="V103" i="8"/>
  <c r="V102" i="8"/>
  <c r="V101" i="8"/>
  <c r="V100" i="8"/>
  <c r="V99" i="8"/>
  <c r="V98" i="8"/>
  <c r="V96" i="8"/>
  <c r="V95" i="8"/>
  <c r="V94" i="8"/>
  <c r="V93" i="8"/>
  <c r="V92" i="8"/>
  <c r="V91" i="8"/>
  <c r="V87" i="8"/>
  <c r="V24" i="8"/>
  <c r="V23" i="8"/>
  <c r="V22" i="8"/>
  <c r="V80" i="8"/>
  <c r="V77" i="8"/>
  <c r="V76" i="8"/>
  <c r="V75" i="8"/>
  <c r="V74" i="8"/>
  <c r="V71" i="8"/>
  <c r="V68" i="8"/>
  <c r="V64" i="8"/>
  <c r="V63" i="8"/>
  <c r="V60" i="8"/>
  <c r="V57" i="8"/>
  <c r="V54" i="8"/>
  <c r="V51" i="8"/>
  <c r="V34" i="8"/>
  <c r="V31" i="8"/>
  <c r="V30" i="8"/>
  <c r="V27" i="8"/>
  <c r="V19" i="8"/>
  <c r="V16" i="8"/>
  <c r="V7" i="8"/>
  <c r="V13" i="8"/>
  <c r="D24" i="7" l="1"/>
  <c r="D32" i="7"/>
  <c r="AB130" i="8"/>
  <c r="L6" i="12"/>
  <c r="O66" i="5"/>
  <c r="M66" i="5"/>
  <c r="K66" i="5"/>
  <c r="G66" i="5"/>
  <c r="I66" i="5"/>
  <c r="C66" i="5"/>
  <c r="E66" i="5"/>
  <c r="E36" i="5"/>
  <c r="E66" i="15" l="1"/>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G6" i="5"/>
  <c r="AB127" i="8"/>
  <c r="M14" i="12" l="1"/>
  <c r="K14" i="12"/>
  <c r="AB140" i="8" l="1"/>
  <c r="M65" i="5"/>
  <c r="C65" i="5"/>
  <c r="E65" i="5"/>
  <c r="G65" i="5"/>
  <c r="I65" i="5"/>
  <c r="K65" i="5"/>
  <c r="O65" i="5"/>
  <c r="AB121" i="8" l="1"/>
  <c r="AB151" i="8"/>
  <c r="AB148" i="8"/>
  <c r="AB147" i="8"/>
  <c r="AB146" i="8"/>
  <c r="AB143" i="8"/>
  <c r="AB137" i="8"/>
  <c r="AB134" i="8"/>
  <c r="AB124" i="8"/>
  <c r="AB117" i="8"/>
  <c r="AB110" i="8"/>
  <c r="AB107" i="8"/>
  <c r="AB104" i="8"/>
  <c r="AB103" i="8"/>
  <c r="AB102" i="8"/>
  <c r="AB101" i="8"/>
  <c r="AB100" i="8"/>
  <c r="AB99" i="8"/>
  <c r="AB98" i="8"/>
  <c r="V97" i="8"/>
  <c r="AB96" i="8"/>
  <c r="AB95" i="8"/>
  <c r="AB94" i="8"/>
  <c r="AB93" i="8"/>
  <c r="AB92" i="8"/>
  <c r="AB91" i="8"/>
  <c r="AB87" i="8"/>
  <c r="AB24" i="8"/>
  <c r="AB23" i="8"/>
  <c r="AB22" i="8"/>
  <c r="AB80" i="8"/>
  <c r="AB77" i="8"/>
  <c r="AB76" i="8"/>
  <c r="AB75" i="8"/>
  <c r="AB74" i="8"/>
  <c r="AB71" i="8"/>
  <c r="AB68" i="8"/>
  <c r="AB64" i="8"/>
  <c r="AB63" i="8"/>
  <c r="AB60" i="8"/>
  <c r="AB113" i="8"/>
  <c r="AB57" i="8"/>
  <c r="AB54" i="8"/>
  <c r="AB37" i="8"/>
  <c r="AB43" i="8"/>
  <c r="AB34" i="8"/>
  <c r="AB31" i="8"/>
  <c r="AB30" i="8"/>
  <c r="AB27" i="8"/>
  <c r="AB19" i="8"/>
  <c r="AB16" i="8"/>
  <c r="AB13" i="8"/>
  <c r="AB44" i="8"/>
  <c r="AB45" i="8"/>
  <c r="AB46" i="8"/>
  <c r="AB47" i="8"/>
  <c r="AB48" i="8"/>
  <c r="AB97" i="8" l="1"/>
  <c r="D30" i="7"/>
  <c r="AB51" i="8"/>
  <c r="D45" i="7"/>
  <c r="V152" i="8"/>
  <c r="U48" i="13"/>
  <c r="T48" i="13"/>
  <c r="S48" i="13"/>
  <c r="R48" i="13"/>
  <c r="Q48" i="13"/>
  <c r="P48" i="13"/>
  <c r="O48" i="13"/>
  <c r="N48" i="13"/>
  <c r="M48" i="13"/>
  <c r="L48" i="13"/>
  <c r="K48" i="13"/>
  <c r="J48" i="13"/>
  <c r="I48" i="13"/>
  <c r="H48" i="13"/>
  <c r="G48" i="13"/>
  <c r="F48" i="13"/>
  <c r="M12" i="12" l="1"/>
  <c r="K12" i="12"/>
  <c r="L12" i="12" s="1"/>
  <c r="M11" i="12"/>
  <c r="K11" i="12"/>
  <c r="L11" i="12" s="1"/>
  <c r="M10" i="12"/>
  <c r="K10" i="12"/>
  <c r="K16" i="12" s="1"/>
  <c r="L16" i="12" s="1"/>
  <c r="M8" i="12"/>
  <c r="Q25" i="7" l="1"/>
  <c r="D18" i="7" l="1"/>
  <c r="D34" i="7"/>
  <c r="D20" i="7" l="1"/>
  <c r="O64" i="5" l="1"/>
  <c r="M64" i="5"/>
  <c r="K64" i="5"/>
  <c r="I64" i="5"/>
  <c r="G64" i="5"/>
  <c r="E64" i="5"/>
  <c r="C64" i="5"/>
  <c r="J40" i="7" l="1"/>
  <c r="E36" i="7" s="1"/>
  <c r="H11" i="7" s="1"/>
  <c r="J39" i="7"/>
  <c r="E35" i="7" s="1"/>
  <c r="H13" i="7" s="1"/>
  <c r="J38" i="7"/>
  <c r="E38" i="7" s="1"/>
  <c r="H15" i="7" s="1"/>
  <c r="J37" i="7"/>
  <c r="E33" i="7" s="1"/>
  <c r="H16" i="7" s="1"/>
  <c r="J36" i="7"/>
  <c r="J35" i="7"/>
  <c r="E11" i="7" s="1"/>
  <c r="H10" i="7" s="1"/>
  <c r="H25" i="7" s="1"/>
  <c r="E47" i="7" l="1"/>
  <c r="O61" i="5"/>
  <c r="O60" i="5"/>
  <c r="O59" i="5"/>
  <c r="O58" i="5"/>
  <c r="O57" i="5"/>
  <c r="O56" i="5"/>
  <c r="O55" i="5"/>
  <c r="O54" i="5"/>
  <c r="O53" i="5"/>
  <c r="O52" i="5"/>
  <c r="O51" i="5"/>
  <c r="O50" i="5"/>
  <c r="O49" i="5"/>
  <c r="O48" i="5"/>
  <c r="O47" i="5"/>
  <c r="O46" i="5"/>
  <c r="O45" i="5"/>
  <c r="O44" i="5"/>
  <c r="O43" i="5"/>
  <c r="O42" i="5"/>
  <c r="O41" i="5"/>
  <c r="O40" i="5"/>
  <c r="O39" i="5"/>
  <c r="O38" i="5"/>
  <c r="O37" i="5"/>
  <c r="O36" i="5"/>
  <c r="O62" i="5"/>
  <c r="O63" i="5"/>
  <c r="I12" i="12" l="1"/>
  <c r="I11" i="12"/>
  <c r="M63" i="5" l="1"/>
  <c r="K63" i="5"/>
  <c r="I63" i="5"/>
  <c r="G63" i="5"/>
  <c r="E63" i="5"/>
  <c r="C63" i="5"/>
  <c r="D29" i="7" l="1"/>
  <c r="D42" i="7"/>
  <c r="D44" i="7" l="1"/>
  <c r="J21" i="7" s="1"/>
  <c r="D40" i="7"/>
  <c r="D39" i="7"/>
  <c r="D37" i="7"/>
  <c r="D15" i="7"/>
  <c r="J23" i="7" s="1"/>
  <c r="D31" i="7"/>
  <c r="D27" i="7"/>
  <c r="D25" i="7"/>
  <c r="J20" i="7" s="1"/>
  <c r="D22" i="7"/>
  <c r="D21" i="7"/>
  <c r="D17" i="7"/>
  <c r="D13" i="7"/>
  <c r="D12" i="7"/>
  <c r="W151" i="8"/>
  <c r="W148" i="8"/>
  <c r="W147" i="8"/>
  <c r="W146" i="8"/>
  <c r="W143" i="8"/>
  <c r="W104" i="8"/>
  <c r="W137" i="8"/>
  <c r="W134" i="8"/>
  <c r="W124" i="8"/>
  <c r="W27" i="8"/>
  <c r="W131" i="8"/>
  <c r="W130" i="8"/>
  <c r="W117" i="8"/>
  <c r="W110" i="8"/>
  <c r="W103" i="8"/>
  <c r="W102" i="8"/>
  <c r="W101" i="8"/>
  <c r="W100" i="8"/>
  <c r="W99" i="8"/>
  <c r="W98" i="8"/>
  <c r="W97" i="8"/>
  <c r="W96" i="8"/>
  <c r="W95" i="8"/>
  <c r="W94" i="8"/>
  <c r="W93" i="8"/>
  <c r="W92" i="8"/>
  <c r="W91" i="8"/>
  <c r="W87" i="8"/>
  <c r="W24" i="8"/>
  <c r="W23" i="8"/>
  <c r="W22" i="8"/>
  <c r="W80" i="8"/>
  <c r="W77" i="8"/>
  <c r="W76" i="8"/>
  <c r="W75" i="8"/>
  <c r="W74" i="8"/>
  <c r="W71" i="8"/>
  <c r="W63" i="8"/>
  <c r="W54" i="8"/>
  <c r="W51" i="8"/>
  <c r="W34" i="8"/>
  <c r="W31" i="8"/>
  <c r="W30" i="8"/>
  <c r="W19" i="8"/>
  <c r="W16" i="8"/>
  <c r="W13" i="8"/>
  <c r="C37" i="7" l="1"/>
  <c r="C40" i="7"/>
  <c r="C27" i="7"/>
  <c r="C23" i="7"/>
  <c r="C31" i="7"/>
  <c r="C12" i="7"/>
  <c r="C25" i="7"/>
  <c r="C42" i="7"/>
  <c r="C17" i="7"/>
  <c r="C45" i="7"/>
  <c r="C13" i="7"/>
  <c r="C29" i="7"/>
  <c r="C15" i="7"/>
  <c r="C44" i="7"/>
  <c r="C39" i="7"/>
  <c r="C21" i="7"/>
  <c r="C16" i="7"/>
  <c r="C43" i="7"/>
  <c r="D11" i="7"/>
  <c r="J10" i="7" s="1"/>
  <c r="C14" i="7"/>
  <c r="C26" i="7"/>
  <c r="D14" i="7"/>
  <c r="J17" i="7" s="1"/>
  <c r="D33" i="7"/>
  <c r="J16" i="7" s="1"/>
  <c r="J18" i="7"/>
  <c r="C36" i="7"/>
  <c r="C35" i="7"/>
  <c r="C38" i="7"/>
  <c r="C11" i="7"/>
  <c r="C33" i="7"/>
  <c r="D16" i="7"/>
  <c r="J12" i="7" s="1"/>
  <c r="D23" i="7"/>
  <c r="D26" i="7"/>
  <c r="J22" i="7" s="1"/>
  <c r="D38" i="7"/>
  <c r="J15" i="7" s="1"/>
  <c r="D36" i="7"/>
  <c r="J11" i="7" s="1"/>
  <c r="D35" i="7"/>
  <c r="J13" i="7" s="1"/>
  <c r="D43" i="7"/>
  <c r="J14" i="7" s="1"/>
  <c r="M62"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J9" i="7" l="1"/>
  <c r="O16" i="7"/>
  <c r="L10" i="7" l="1"/>
  <c r="O15" i="7"/>
  <c r="O11" i="7"/>
  <c r="O12" i="7"/>
  <c r="L12" i="7"/>
  <c r="O10" i="7"/>
  <c r="O14" i="7"/>
  <c r="O9" i="7"/>
  <c r="O13" i="7"/>
  <c r="O17" i="7"/>
  <c r="L20" i="7"/>
  <c r="O23" i="7"/>
  <c r="L22" i="7"/>
  <c r="O20" i="7"/>
  <c r="O21" i="7"/>
  <c r="L17" i="7"/>
  <c r="O22" i="7"/>
  <c r="O24" i="7"/>
  <c r="L16" i="7"/>
  <c r="L13" i="7"/>
  <c r="L15" i="7"/>
  <c r="L11" i="7"/>
  <c r="L23" i="7"/>
  <c r="L14" i="7"/>
  <c r="L21" i="7"/>
  <c r="O25" i="7" l="1"/>
  <c r="M16" i="12" l="1"/>
  <c r="F12" i="12"/>
  <c r="F11" i="12"/>
  <c r="I14" i="12"/>
  <c r="C10" i="12"/>
  <c r="F10" i="12"/>
  <c r="I10" i="12"/>
  <c r="L10" i="12"/>
  <c r="L14" i="12"/>
  <c r="C12" i="12"/>
  <c r="C11" i="12"/>
  <c r="L8" i="12"/>
  <c r="I8" i="12"/>
  <c r="F8" i="12"/>
  <c r="C8" i="12"/>
  <c r="F14" i="12" l="1"/>
  <c r="L107" i="8" l="1"/>
  <c r="W107" i="8" s="1"/>
  <c r="K68" i="8"/>
  <c r="W68" i="8" s="1"/>
  <c r="K60" i="8"/>
  <c r="W60" i="8" s="1"/>
  <c r="L113" i="8"/>
  <c r="K113" i="8"/>
  <c r="L57" i="8"/>
  <c r="K57" i="8"/>
  <c r="K152" i="8" l="1"/>
  <c r="C30" i="7"/>
  <c r="L9" i="7" s="1"/>
  <c r="L152" i="8"/>
  <c r="W113" i="8"/>
  <c r="C32" i="7" s="1"/>
  <c r="C24" i="7"/>
  <c r="W57" i="8"/>
  <c r="D47" i="7" l="1"/>
  <c r="C22" i="7"/>
  <c r="L24" i="7" s="1"/>
  <c r="W152" i="8"/>
  <c r="J24" i="7" l="1"/>
  <c r="J25" i="7" s="1"/>
  <c r="K9" i="7" s="1"/>
  <c r="C47" i="7"/>
  <c r="L25" i="7" s="1"/>
  <c r="M16" i="7" s="1"/>
  <c r="W48" i="13"/>
  <c r="M14" i="7" l="1"/>
  <c r="M23" i="7"/>
  <c r="M22" i="7"/>
  <c r="M11" i="7"/>
  <c r="M17" i="7"/>
  <c r="M15" i="7"/>
  <c r="M24" i="7"/>
  <c r="M21" i="7"/>
  <c r="M18" i="7"/>
  <c r="M10" i="7"/>
  <c r="M13" i="7"/>
  <c r="M20" i="7"/>
  <c r="M12" i="7"/>
  <c r="M9" i="7"/>
  <c r="K10" i="7"/>
  <c r="K14" i="7"/>
  <c r="K15" i="7"/>
  <c r="K20" i="7"/>
  <c r="K24" i="7"/>
  <c r="K18" i="7"/>
  <c r="K12" i="7"/>
  <c r="K23" i="7"/>
  <c r="K13" i="7"/>
  <c r="K17" i="7"/>
  <c r="K22" i="7"/>
  <c r="K16" i="7"/>
  <c r="K11" i="7"/>
  <c r="K21" i="7"/>
  <c r="Z152" i="8"/>
  <c r="AB152" i="8" s="1"/>
  <c r="V48" i="13"/>
  <c r="M25" i="7" l="1"/>
  <c r="K25" i="7"/>
  <c r="C9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Cartwright, Paul</author>
  </authors>
  <commentList>
    <comment ref="F130" authorId="0" shapeId="0" xr:uid="{00000000-0006-0000-0200-00000100000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tc={DB4CA51D-A631-4D20-9D9B-8D851B495E07}</author>
    <author>tc={346984FB-026A-4C66-BBE2-1040B94B76E0}</author>
  </authors>
  <commentList>
    <comment ref="H53" authorId="0" shapeId="0" xr:uid="{DB4CA51D-A631-4D20-9D9B-8D851B495E07}">
      <text>
        <t>[Threaded comment]
Your version of Excel allows you to read this threaded comment; however, any edits to it will get removed if the file is opened in a newer version of Excel. Learn more: https://go.microsoft.com/fwlink/?linkid=870924
Comment:
    Didn't include the other row for nw in this table, we might be missing almost 3 m MWh of sales from nw in industrial category</t>
      </text>
    </comment>
    <comment ref="K59" authorId="1" shapeId="0" xr:uid="{346984FB-026A-4C66-BBE2-1040B94B76E0}">
      <text>
        <t>[Threaded comment]
Your version of Excel allows you to read this threaded comment; however, any edits to it will get removed if the file is opened in a newer version of Excel. Learn more: https://go.microsoft.com/fwlink/?linkid=870924
Comment:
    We might be missing some sales from NW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tc={B9FC966A-D21A-453A-B28C-610A46120463}</author>
  </authors>
  <commentList>
    <comment ref="E6" authorId="0" shapeId="0" xr:uid="{B9FC966A-D21A-453A-B28C-610A46120463}">
      <text>
        <t>[Threaded comment]
Your version of Excel allows you to read this threaded comment; however, any edits to it will get removed if the file is opened in a newer version of Excel. Learn more: https://go.microsoft.com/fwlink/?linkid=870924
Comment:
    Should we not include the other cell for nw on form 861? It is only delivery service type as opposed to bundling. Additional 3060987 MWh and 410 customers (industrial?).</t>
      </text>
    </comment>
  </commentList>
</comments>
</file>

<file path=xl/sharedStrings.xml><?xml version="1.0" encoding="utf-8"?>
<sst xmlns="http://schemas.openxmlformats.org/spreadsheetml/2006/main" count="1532" uniqueCount="617">
  <si>
    <t>Percent</t>
  </si>
  <si>
    <t>Montana-Dakota Utilities Co</t>
  </si>
  <si>
    <t>WAPA</t>
  </si>
  <si>
    <t>RESIDENTIAL</t>
  </si>
  <si>
    <t>COMMERCIAL</t>
  </si>
  <si>
    <t>INDUSTRIAL</t>
  </si>
  <si>
    <t>TOTAL</t>
  </si>
  <si>
    <t>Sales</t>
  </si>
  <si>
    <t>UTILITY NAME</t>
  </si>
  <si>
    <t>Consumers</t>
  </si>
  <si>
    <t>--</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</si>
  <si>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</si>
  <si>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</si>
  <si>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</si>
  <si>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</si>
  <si>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</si>
  <si>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</si>
  <si>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</si>
  <si>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</si>
  <si>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</si>
  <si>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</si>
  <si>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</si>
  <si>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</si>
  <si>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</si>
  <si>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</si>
  <si>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</si>
  <si>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</si>
  <si>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</si>
  <si>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</si>
  <si>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</si>
  <si>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</si>
  <si>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</si>
  <si>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</si>
  <si>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</si>
  <si>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</si>
  <si>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</si>
  <si>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</si>
  <si>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</si>
  <si>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</si>
  <si>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</si>
  <si>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</si>
  <si>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</si>
  <si>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</si>
  <si>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</si>
  <si>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</si>
  <si>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</si>
  <si>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</si>
  <si>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</si>
  <si>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</si>
  <si>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</si>
  <si>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</si>
  <si>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Colstrip Energy Partnership</t>
  </si>
  <si>
    <t>Flathead Electric Cooperative</t>
  </si>
  <si>
    <t>Hydrodynamics</t>
  </si>
  <si>
    <t>Invenergy</t>
  </si>
  <si>
    <t>Montana-Dakota Utilities</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</si>
  <si>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</si>
  <si>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</si>
  <si>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</si>
  <si>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</si>
  <si>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</si>
  <si>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</si>
  <si>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</si>
  <si>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</si>
  <si>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</si>
  <si>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</si>
  <si>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</si>
  <si>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</si>
  <si>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Tiber LLC</t>
  </si>
  <si>
    <t>MW in Colstrip Units:</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</si>
  <si>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</si>
  <si>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</si>
  <si>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</si>
  <si>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</si>
  <si>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</si>
  <si>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</si>
  <si>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</si>
  <si>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</si>
  <si>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</si>
  <si>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r>
      <t>Hungry Horse</t>
    </r>
    <r>
      <rPr>
        <vertAlign val="superscript"/>
        <sz val="10"/>
        <rFont val="Arial"/>
        <family val="2"/>
      </rPr>
      <t>4</t>
    </r>
  </si>
  <si>
    <t>Libby</t>
  </si>
  <si>
    <t>Montana One (NWE QF)</t>
  </si>
  <si>
    <t>Landfill Gas To Energy</t>
  </si>
  <si>
    <t>Gordon Butte (NWE QF)</t>
  </si>
  <si>
    <t>South Dry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</si>
  <si>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</si>
  <si>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</si>
  <si>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</si>
  <si>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</si>
  <si>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</si>
  <si>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</si>
  <si>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</si>
  <si>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</si>
  <si>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t>NorthWestern Energy (portfolio)</t>
  </si>
  <si>
    <t>Dave Gates Generating Station</t>
  </si>
  <si>
    <t xml:space="preserve">Ormat </t>
  </si>
  <si>
    <r>
      <t>Culbertson Waste Heat (Basin portfolio)</t>
    </r>
    <r>
      <rPr>
        <vertAlign val="superscript"/>
        <sz val="10"/>
        <rFont val="Arial"/>
        <family val="2"/>
      </rPr>
      <t>3</t>
    </r>
  </si>
  <si>
    <t>Bigfork</t>
  </si>
  <si>
    <t>Black Eagle</t>
  </si>
  <si>
    <t>Cochrane</t>
  </si>
  <si>
    <t>Holter</t>
  </si>
  <si>
    <t>Madison</t>
  </si>
  <si>
    <t>Morony</t>
  </si>
  <si>
    <t>Mystic Lake</t>
  </si>
  <si>
    <t>Rainbow</t>
  </si>
  <si>
    <t>Ryan</t>
  </si>
  <si>
    <t>Thompson Falls</t>
  </si>
  <si>
    <t>Hardin Generating Station</t>
  </si>
  <si>
    <t>Salish-Kootenai</t>
  </si>
  <si>
    <t>Turnbull Hydro, LLC</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</si>
  <si>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</si>
  <si>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</si>
  <si>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</si>
  <si>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</si>
  <si>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</si>
  <si>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</si>
  <si>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</si>
  <si>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</si>
  <si>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NWE QF for summer months; in the other nine months the output goes to Idaho Power.</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</si>
  <si>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</si>
  <si>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</si>
  <si>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</si>
  <si>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</si>
  <si>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</si>
  <si>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</si>
  <si>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</si>
  <si>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</si>
  <si>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</si>
  <si>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</si>
  <si>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</si>
  <si>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</si>
  <si>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</si>
  <si>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</si>
  <si>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</si>
  <si>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</si>
  <si>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</si>
  <si>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</si>
  <si>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</si>
  <si>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</si>
  <si>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</si>
  <si>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</si>
  <si>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</si>
  <si>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</si>
  <si>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Custer</t>
  </si>
  <si>
    <t>Toole</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</si>
  <si>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</si>
  <si>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</si>
  <si>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</si>
  <si>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</si>
  <si>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</si>
  <si>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</si>
  <si>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</si>
  <si>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</si>
  <si>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</si>
  <si>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</si>
  <si>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</si>
  <si>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</si>
  <si>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</si>
  <si>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</si>
  <si>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</si>
  <si>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</si>
  <si>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</si>
  <si>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</si>
  <si>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</si>
  <si>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</si>
  <si>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</si>
  <si>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</si>
  <si>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</si>
  <si>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</si>
  <si>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</si>
  <si>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</si>
  <si>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 xml:space="preserve">Mussellshell 1 &amp; 2 </t>
  </si>
  <si>
    <t>Various</t>
  </si>
  <si>
    <t>NWE QF - Oversight Resources</t>
  </si>
  <si>
    <t>Gordon Butte</t>
  </si>
  <si>
    <t>Meagher</t>
  </si>
  <si>
    <t>NWE QF - Yellowstone Partnership</t>
  </si>
  <si>
    <t>BGI</t>
  </si>
  <si>
    <t>Petroleum Coke</t>
  </si>
  <si>
    <t>Ormat (Basin Electric Cooperative portfolio)</t>
  </si>
  <si>
    <t>Culbertson Waste Heat</t>
  </si>
  <si>
    <t>Recovered Heat</t>
  </si>
  <si>
    <t>Bigfork 1-3</t>
  </si>
  <si>
    <t>Black Eagle 1-3</t>
  </si>
  <si>
    <t>Cascade</t>
  </si>
  <si>
    <t>Cochrane 1-2</t>
  </si>
  <si>
    <t>Subbituminous Coal</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</si>
  <si>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</si>
  <si>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</si>
  <si>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</si>
  <si>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</si>
  <si>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</si>
  <si>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</si>
  <si>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</si>
  <si>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</si>
  <si>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</si>
  <si>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</si>
  <si>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</si>
  <si>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</si>
  <si>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</si>
  <si>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</si>
  <si>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</si>
  <si>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</si>
  <si>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Big Horn</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</si>
  <si>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</si>
  <si>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</si>
  <si>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</si>
  <si>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</si>
  <si>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</si>
  <si>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</si>
  <si>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</si>
  <si>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</si>
  <si>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</si>
  <si>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</si>
  <si>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</si>
  <si>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</si>
  <si>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</si>
  <si>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</si>
  <si>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</si>
  <si>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</si>
  <si>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</si>
  <si>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</si>
  <si>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</si>
  <si>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</si>
  <si>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</si>
  <si>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</si>
  <si>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</si>
  <si>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</si>
  <si>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</si>
  <si>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t>Puget Sound</t>
  </si>
  <si>
    <t>Capacity</t>
  </si>
  <si>
    <t>Coal</t>
  </si>
  <si>
    <t>Hydro</t>
  </si>
  <si>
    <t>Séliš, Ksanka QÍispé Dam  1-3</t>
  </si>
  <si>
    <t>Talen/Riverstone Holdings (operator); Avista (15%)</t>
  </si>
  <si>
    <t>Talen Energy/Riverstone (formerly PPL)</t>
  </si>
  <si>
    <t>Musselshell I and II (NWE QF)</t>
  </si>
  <si>
    <r>
      <t>PETROLEUM</t>
    </r>
    <r>
      <rPr>
        <b/>
        <vertAlign val="superscript"/>
        <sz val="10"/>
        <rFont val="Arial"/>
        <family val="2"/>
      </rPr>
      <t>3</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</si>
  <si>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</si>
  <si>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</si>
  <si>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Landfill Gas To Energy</t>
    </r>
    <r>
      <rPr>
        <vertAlign val="superscript"/>
        <sz val="10"/>
        <rFont val="Arial"/>
        <family val="2"/>
      </rPr>
      <t>2</t>
    </r>
  </si>
  <si>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</si>
  <si>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</si>
  <si>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</si>
  <si>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</si>
  <si>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</si>
  <si>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</si>
  <si>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Petrol/Coke</t>
  </si>
  <si>
    <r>
      <t>Salish - Kootenai Tribe/Energy Keepers</t>
    </r>
    <r>
      <rPr>
        <vertAlign val="superscript"/>
        <sz val="10"/>
        <color indexed="8"/>
        <rFont val="Arial"/>
        <family val="2"/>
      </rPr>
      <t>7</t>
    </r>
  </si>
  <si>
    <t>Greenbacker Renewable Energy</t>
  </si>
  <si>
    <t>Fairfield Wind (NWE QF)</t>
  </si>
  <si>
    <t>Greenfields (NWE QF)</t>
  </si>
  <si>
    <t>Talen (formerlly PPL Montana)</t>
  </si>
  <si>
    <t xml:space="preserve">Net generation equals gross generation minus plant use. </t>
  </si>
  <si>
    <r>
      <t>Salish-Kootenai</t>
    </r>
    <r>
      <rPr>
        <vertAlign val="superscript"/>
        <sz val="10"/>
        <rFont val="Arial"/>
        <family val="2"/>
      </rPr>
      <t>5</t>
    </r>
  </si>
  <si>
    <t>Talen Energy LLC/RiverStone Holdings</t>
  </si>
  <si>
    <t>Portland General Electric</t>
  </si>
  <si>
    <t xml:space="preserve">Puget Sound </t>
  </si>
  <si>
    <t>2015 Output</t>
  </si>
  <si>
    <t xml:space="preserve">Federal </t>
  </si>
  <si>
    <t>1999</t>
  </si>
  <si>
    <t>1998</t>
  </si>
  <si>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</si>
  <si>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</si>
  <si>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</si>
  <si>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</si>
  <si>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</si>
  <si>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</si>
  <si>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</si>
  <si>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</si>
  <si>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</si>
  <si>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</si>
  <si>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</si>
  <si>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</si>
  <si>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r>
      <t>Wind</t>
    </r>
    <r>
      <rPr>
        <b/>
        <vertAlign val="superscript"/>
        <sz val="10"/>
        <rFont val="Arial"/>
        <family val="2"/>
      </rPr>
      <t>5</t>
    </r>
  </si>
  <si>
    <r>
      <t>Solar</t>
    </r>
    <r>
      <rPr>
        <b/>
        <vertAlign val="superscript"/>
        <sz val="10"/>
        <rFont val="Arial"/>
        <family val="2"/>
      </rPr>
      <t>5</t>
    </r>
  </si>
  <si>
    <r>
      <t>Average</t>
    </r>
    <r>
      <rPr>
        <b/>
        <vertAlign val="superscript"/>
        <sz val="10"/>
        <rFont val="Arial"/>
        <family val="2"/>
      </rPr>
      <t>2</t>
    </r>
    <r>
      <rPr>
        <b/>
        <sz val="10"/>
        <rFont val="Arial"/>
        <family val="2"/>
      </rPr>
      <t xml:space="preserve"> (aMW</t>
    </r>
    <r>
      <rPr>
        <b/>
        <sz val="10"/>
        <rFont val="Arial"/>
        <family val="2"/>
      </rPr>
      <t>)</t>
    </r>
  </si>
  <si>
    <r>
      <t>Selis Ksanka Qlispe (formerly Kerr)</t>
    </r>
    <r>
      <rPr>
        <vertAlign val="superscript"/>
        <sz val="10"/>
        <rFont val="Arial"/>
        <family val="2"/>
      </rPr>
      <t>11</t>
    </r>
  </si>
  <si>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</si>
  <si>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</si>
  <si>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</si>
  <si>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 xml:space="preserve">Fort Peck 1-5 </t>
    </r>
    <r>
      <rPr>
        <vertAlign val="superscript"/>
        <sz val="10"/>
        <color indexed="8"/>
        <rFont val="Arial"/>
        <family val="2"/>
      </rPr>
      <t>9</t>
    </r>
  </si>
  <si>
    <r>
      <t>Other</t>
    </r>
    <r>
      <rPr>
        <vertAlign val="superscript"/>
        <sz val="10"/>
        <rFont val="Arial"/>
        <family val="2"/>
      </rPr>
      <t>7</t>
    </r>
  </si>
  <si>
    <t>Total Sales</t>
  </si>
  <si>
    <t>(MWh)</t>
  </si>
  <si>
    <r>
      <t>NATURAL GAS</t>
    </r>
    <r>
      <rPr>
        <b/>
        <vertAlign val="superscript"/>
        <sz val="10"/>
        <rFont val="Arial"/>
        <family val="2"/>
      </rPr>
      <t>5</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</si>
  <si>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</si>
  <si>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</si>
  <si>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</si>
  <si>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t>retired</t>
  </si>
  <si>
    <t>In 2015, the Corette power plant was shut down and retired.</t>
  </si>
  <si>
    <t>Other generators</t>
  </si>
  <si>
    <t>COMPANY (Operator)</t>
  </si>
  <si>
    <t>Company (Distributor)</t>
  </si>
  <si>
    <t>Power Marketers</t>
  </si>
  <si>
    <t>2011-2015</t>
  </si>
  <si>
    <t>NWE (assets formerly owned by PPL)</t>
  </si>
  <si>
    <r>
      <t>Talen Energy LLC (includes former PPL Montana assets)</t>
    </r>
    <r>
      <rPr>
        <vertAlign val="superscript"/>
        <sz val="10"/>
        <rFont val="Arial"/>
        <family val="2"/>
      </rPr>
      <t>2,8</t>
    </r>
  </si>
  <si>
    <t>Oversight</t>
  </si>
  <si>
    <t>DA Wind</t>
  </si>
  <si>
    <t>NWE QF - Two Dot Wind Broadview East LLC</t>
  </si>
  <si>
    <t>Broadview East</t>
  </si>
  <si>
    <t>NWE QF - 71 Ranch LP</t>
  </si>
  <si>
    <t>NWE QF - Portentia Renewables</t>
  </si>
  <si>
    <t>71 Ranch LP</t>
  </si>
  <si>
    <t>NWE QF - DA Wind Investors LLP</t>
  </si>
  <si>
    <t>NWE QF - Oversight Resources LLC</t>
  </si>
  <si>
    <r>
      <t>NorthWestern Energy</t>
    </r>
    <r>
      <rPr>
        <vertAlign val="superscript"/>
        <sz val="10"/>
        <rFont val="Arial"/>
        <family val="2"/>
      </rPr>
      <t>2,4,8</t>
    </r>
    <r>
      <rPr>
        <sz val="10"/>
        <rFont val="Arial"/>
        <family val="2"/>
      </rPr>
      <t xml:space="preserve"> (includes former PPL Montana dams)</t>
    </r>
  </si>
  <si>
    <t>The Two Dot Wind Farm was owned by NJR Clean Energy Ventures as a NorthWestern Energy QF.  In 2018, NorthWestern energy bought it and brought it into their portfolio.</t>
  </si>
  <si>
    <t>Other hydro includes Wisconsin Creek, Boulder Creek Limited Partnership, Lower South Fork, Ross Creek, Pony, Pine Creek, Hanover, Cascade Creek and Barney Creek.  As of 2017, it also includes Strawberry Creek.</t>
  </si>
  <si>
    <r>
      <t>Bonneville Power Administration (dams owned by U.S. Government)</t>
    </r>
    <r>
      <rPr>
        <vertAlign val="superscript"/>
        <sz val="10"/>
        <rFont val="Arial"/>
        <family val="2"/>
      </rPr>
      <t>3</t>
    </r>
  </si>
  <si>
    <r>
      <t>Source:</t>
    </r>
    <r>
      <rPr>
        <sz val="10"/>
        <rFont val="Arial"/>
        <family val="2"/>
      </rPr>
      <t xml:space="preserve"> Same as in Table E2 plus Montana DEQ institutional knowledge and inquiries with utilities over time</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</si>
  <si>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</si>
  <si>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t>Montana-Dakota Utilities (MDU)</t>
  </si>
  <si>
    <t>Pet Coke</t>
  </si>
  <si>
    <r>
      <t>Other</t>
    </r>
    <r>
      <rPr>
        <b/>
        <vertAlign val="superscript"/>
        <sz val="10"/>
        <rFont val="Arial"/>
        <family val="2"/>
      </rPr>
      <t>6</t>
    </r>
  </si>
  <si>
    <r>
      <t>TOTAL</t>
    </r>
    <r>
      <rPr>
        <b/>
        <vertAlign val="superscript"/>
        <sz val="10"/>
        <rFont val="Arial"/>
        <family val="2"/>
      </rPr>
      <t>6</t>
    </r>
  </si>
  <si>
    <t>South Peak</t>
  </si>
  <si>
    <t>NWE QF - Allete Clean Energy</t>
  </si>
  <si>
    <t>Consolidated Edison</t>
  </si>
  <si>
    <t>Enparc Inc.</t>
  </si>
  <si>
    <t>Enparc inc.</t>
  </si>
  <si>
    <t>Consolodated Edison</t>
  </si>
  <si>
    <t>NWE QF- Pattern Energy LLC</t>
  </si>
  <si>
    <t>Pattern Energy</t>
  </si>
  <si>
    <t>Note: A Dash (--) indicates that the facility was not running in that year</t>
  </si>
  <si>
    <t>Tiber (NWE portfolio)</t>
  </si>
  <si>
    <t>Lake Creek</t>
  </si>
  <si>
    <r>
      <t>Two Dot Wind</t>
    </r>
    <r>
      <rPr>
        <vertAlign val="superscript"/>
        <sz val="10"/>
        <rFont val="Arial"/>
        <family val="2"/>
      </rPr>
      <t>8</t>
    </r>
  </si>
  <si>
    <r>
      <t>Two Dot Wind Farm</t>
    </r>
    <r>
      <rPr>
        <vertAlign val="superscript"/>
        <sz val="10"/>
        <rFont val="Arial"/>
        <family val="2"/>
      </rPr>
      <t>9</t>
    </r>
  </si>
  <si>
    <r>
      <t>Other hydro (3.2 MW total)</t>
    </r>
    <r>
      <rPr>
        <vertAlign val="superscript"/>
        <sz val="10"/>
        <rFont val="Arial"/>
        <family val="2"/>
      </rPr>
      <t>10</t>
    </r>
  </si>
  <si>
    <r>
      <t>Colstrip</t>
    </r>
    <r>
      <rPr>
        <vertAlign val="superscript"/>
        <sz val="10"/>
        <rFont val="Arial"/>
        <family val="2"/>
      </rPr>
      <t>12</t>
    </r>
  </si>
  <si>
    <r>
      <t>J E Corette</t>
    </r>
    <r>
      <rPr>
        <vertAlign val="superscript"/>
        <sz val="10"/>
        <rFont val="Arial"/>
        <family val="2"/>
      </rPr>
      <t>13</t>
    </r>
  </si>
  <si>
    <r>
      <t>Horseshoe Bend (NWE QF)</t>
    </r>
    <r>
      <rPr>
        <vertAlign val="superscript"/>
        <sz val="10"/>
        <rFont val="Arial"/>
        <family val="2"/>
      </rPr>
      <t>14</t>
    </r>
    <r>
      <rPr>
        <sz val="10"/>
        <rFont val="Arial"/>
        <family val="2"/>
      </rPr>
      <t xml:space="preserve"> </t>
    </r>
  </si>
  <si>
    <t>Note: Reported average is for a period shorter than the number of years indicated by the column heading if the plant came on line during that period.</t>
  </si>
  <si>
    <t>2004</t>
  </si>
  <si>
    <t>2005</t>
  </si>
  <si>
    <t>2006</t>
  </si>
  <si>
    <r>
      <t>2011</t>
    </r>
    <r>
      <rPr>
        <vertAlign val="superscript"/>
        <sz val="10"/>
        <rFont val="Adobe Caslon Pro"/>
        <family val="1"/>
      </rPr>
      <t>4</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</si>
  <si>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it was owned by NorthWestern Energy and PPL Montana.</t>
    </r>
  </si>
  <si>
    <t>Note: The' Total' column may include other fuels not listed in the first five columns and therefore column percentages may not add up to 100%</t>
  </si>
  <si>
    <t>Other</t>
  </si>
  <si>
    <t>Total Capacity Wind</t>
  </si>
  <si>
    <t>Total Capacity All</t>
  </si>
  <si>
    <r>
      <t>Glacier Wind Energy 1 LLC</t>
    </r>
    <r>
      <rPr>
        <vertAlign val="superscript"/>
        <sz val="10"/>
        <rFont val="Arial"/>
        <family val="2"/>
      </rPr>
      <t>7</t>
    </r>
  </si>
  <si>
    <r>
      <t>Glacier Wind Energy 2 LLC</t>
    </r>
    <r>
      <rPr>
        <vertAlign val="superscript"/>
        <sz val="10"/>
        <rFont val="Arial"/>
        <family val="2"/>
      </rPr>
      <t>7</t>
    </r>
  </si>
  <si>
    <t>YELP</t>
  </si>
  <si>
    <t>from Table E6</t>
  </si>
  <si>
    <t>Allete Clean Energy</t>
  </si>
  <si>
    <t>South Peak (NWE QF)</t>
  </si>
  <si>
    <t>DA Wind Investors LLP</t>
  </si>
  <si>
    <t>DA Wind (NWE QF)</t>
  </si>
  <si>
    <t>Two Dot Wind Broadview East LLC</t>
  </si>
  <si>
    <t>Broadview East (NWE portfolio)</t>
  </si>
  <si>
    <t>71 Ranch LP (NWE QF)</t>
  </si>
  <si>
    <t>Big Timber Wind (NWE QF)</t>
  </si>
  <si>
    <t>River Bend Solar, LLC (NWE QF)</t>
  </si>
  <si>
    <t>South Mills Solar, LLC (NWE QF)</t>
  </si>
  <si>
    <t>Green Meadow Solar, LLC (NWE QF)</t>
  </si>
  <si>
    <t>Great Divide Solar, LLC (NWE QF)</t>
  </si>
  <si>
    <t>Black Eagle Solar, LLC (NWE QF)</t>
  </si>
  <si>
    <t>Magpie Solar, LLC (NWE QF)</t>
  </si>
  <si>
    <t>Oversight (NWE QF)</t>
  </si>
  <si>
    <t>Turnbull Hydro (NWE Portfolio)</t>
  </si>
  <si>
    <t>Reported average is for a period shorter than the number of years indicated by the column heading if the plant came on line during that period.  Reported average is for all years that facility has run.</t>
  </si>
  <si>
    <t xml:space="preserve">Note: </t>
  </si>
  <si>
    <t>Net Montana Sales (GWh)</t>
  </si>
  <si>
    <t>Oversight Resources (Gordon Butte)</t>
  </si>
  <si>
    <t>Percentage Total Nameplate Capacity</t>
  </si>
  <si>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r>
      <rPr>
        <vertAlign val="superscript"/>
        <sz val="10"/>
        <rFont val="Arial"/>
        <family val="2"/>
      </rPr>
      <t xml:space="preserve">  </t>
    </r>
  </si>
  <si>
    <r>
      <t>Talen/Riverstone Holdings</t>
    </r>
    <r>
      <rPr>
        <vertAlign val="superscript"/>
        <sz val="10"/>
        <color rgb="FF000000"/>
        <rFont val="Arial"/>
        <family val="2"/>
      </rPr>
      <t>6</t>
    </r>
    <r>
      <rPr>
        <sz val="10"/>
        <color indexed="8"/>
        <rFont val="Arial"/>
        <family val="2"/>
      </rPr>
      <t xml:space="preserve"> (30%)</t>
    </r>
  </si>
  <si>
    <r>
      <t>Colstrip</t>
    </r>
    <r>
      <rPr>
        <b/>
        <vertAlign val="superscript"/>
        <sz val="10"/>
        <color rgb="FF000000"/>
        <rFont val="Arial"/>
        <family val="2"/>
      </rPr>
      <t>10</t>
    </r>
    <r>
      <rPr>
        <b/>
        <sz val="10"/>
        <color indexed="8"/>
        <rFont val="Arial"/>
        <family val="2"/>
      </rPr>
      <t>:</t>
    </r>
  </si>
  <si>
    <r>
      <t xml:space="preserve">10 </t>
    </r>
    <r>
      <rPr>
        <sz val="10"/>
        <rFont val="Arial"/>
        <family val="2"/>
      </rPr>
      <t>In 2020, units 1 and 2 of Colstrip shut down permanently.</t>
    </r>
  </si>
  <si>
    <r>
      <rPr>
        <b/>
        <sz val="11"/>
        <color theme="1"/>
        <rFont val="Calibri"/>
        <family val="2"/>
        <scheme val="minor"/>
      </rPr>
      <t>Source</t>
    </r>
    <r>
      <rPr>
        <sz val="11"/>
        <color theme="1"/>
        <rFont val="Calibri"/>
        <family val="2"/>
        <scheme val="minor"/>
      </rPr>
      <t>: See Table E1</t>
    </r>
  </si>
  <si>
    <t xml:space="preserve">In 2014, the Kerr Dam changed ownership and became property of NorthWestern Energy. In 2015, the Salish-Kootenai Tribe took over the Kerr Dam from NorthWestern Energy and renamed it Séliš, Ksanka QÍispé Dam.  </t>
  </si>
  <si>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Data are collected from a monthly sample of approximately 1,900 plants, which includes a census of nuclear and pumped‐storage hydroelectric plants. In addition approximately 4,050 plants, representing all other generators 1 MW or greater, are collected annually. </t>
    </r>
  </si>
  <si>
    <t xml:space="preserve">Natural Gas </t>
  </si>
  <si>
    <t>Gas</t>
  </si>
  <si>
    <t xml:space="preserve">Wind </t>
  </si>
  <si>
    <t>NorthWestern Energy</t>
  </si>
  <si>
    <t>Portland Gas &amp; Elec</t>
  </si>
  <si>
    <t>Pacificorp</t>
  </si>
  <si>
    <r>
      <t>1 </t>
    </r>
    <r>
      <rPr>
        <b/>
        <sz val="10"/>
        <color rgb="FF5F6368"/>
        <rFont val="Calibri"/>
        <family val="2"/>
        <scheme val="minor"/>
      </rPr>
      <t>GWh</t>
    </r>
    <r>
      <rPr>
        <sz val="10"/>
        <color rgb="FF4D5156"/>
        <rFont val="Calibri"/>
        <family val="2"/>
        <scheme val="minor"/>
      </rPr>
      <t> = 3,412,141,632.81 </t>
    </r>
    <r>
      <rPr>
        <b/>
        <sz val="10"/>
        <color rgb="FF5F6368"/>
        <rFont val="Calibri"/>
        <family val="2"/>
        <scheme val="minor"/>
      </rPr>
      <t>btu</t>
    </r>
  </si>
  <si>
    <r>
      <rPr>
        <b/>
        <sz val="11"/>
        <color theme="1"/>
        <rFont val="Calibri"/>
        <family val="2"/>
        <scheme val="minor"/>
      </rPr>
      <t>Source</t>
    </r>
    <r>
      <rPr>
        <sz val="11"/>
        <color theme="1"/>
        <rFont val="Calibri"/>
        <family val="2"/>
        <scheme val="minor"/>
      </rPr>
      <t>: Table E5</t>
    </r>
  </si>
  <si>
    <r>
      <rPr>
        <b/>
        <sz val="11"/>
        <color theme="1"/>
        <rFont val="Calibri"/>
        <family val="2"/>
        <scheme val="minor"/>
      </rPr>
      <t>Source:</t>
    </r>
    <r>
      <rPr>
        <sz val="11"/>
        <color theme="1"/>
        <rFont val="Calibri"/>
        <family val="2"/>
        <scheme val="minor"/>
      </rPr>
      <t xml:space="preserve"> U.S. EIA and MREA</t>
    </r>
  </si>
  <si>
    <r>
      <rPr>
        <b/>
        <sz val="11"/>
        <color theme="1"/>
        <rFont val="Calibri"/>
        <family val="2"/>
        <scheme val="minor"/>
      </rPr>
      <t>Source</t>
    </r>
    <r>
      <rPr>
        <sz val="11"/>
        <color theme="1"/>
        <rFont val="Calibri"/>
        <family val="2"/>
        <scheme val="minor"/>
      </rPr>
      <t>: Tables E5 and E6</t>
    </r>
  </si>
  <si>
    <r>
      <t>2020</t>
    </r>
    <r>
      <rPr>
        <vertAlign val="superscript"/>
        <sz val="10"/>
        <rFont val="Arial"/>
        <family val="2"/>
      </rPr>
      <t>5</t>
    </r>
  </si>
  <si>
    <t>2016-2020</t>
  </si>
  <si>
    <t>Big Horn Data</t>
  </si>
  <si>
    <t>The Madison Plant was offline all of 2020 due to a full plant upgrade</t>
  </si>
  <si>
    <r>
      <t>Madison</t>
    </r>
    <r>
      <rPr>
        <vertAlign val="superscript"/>
        <sz val="10"/>
        <rFont val="Arial"/>
        <family val="2"/>
      </rPr>
      <t>15</t>
    </r>
  </si>
  <si>
    <r>
      <t>STATE TOTALS</t>
    </r>
    <r>
      <rPr>
        <b/>
        <vertAlign val="superscript"/>
        <sz val="10"/>
        <rFont val="Arial"/>
        <family val="2"/>
      </rPr>
      <t>5</t>
    </r>
  </si>
  <si>
    <r>
      <t>(aMW)</t>
    </r>
    <r>
      <rPr>
        <vertAlign val="superscript"/>
        <sz val="10"/>
        <rFont val="Arial"/>
        <family val="2"/>
      </rPr>
      <t>1</t>
    </r>
  </si>
  <si>
    <r>
      <t>NorthWestern Corporation</t>
    </r>
    <r>
      <rPr>
        <vertAlign val="superscript"/>
        <sz val="10"/>
        <rFont val="Arial"/>
        <family val="2"/>
      </rPr>
      <t>2</t>
    </r>
  </si>
  <si>
    <r>
      <t>Cooperative</t>
    </r>
    <r>
      <rPr>
        <b/>
        <vertAlign val="superscript"/>
        <sz val="10"/>
        <rFont val="Arial"/>
        <family val="2"/>
      </rPr>
      <t>4</t>
    </r>
    <r>
      <rPr>
        <b/>
        <sz val="10"/>
        <rFont val="Arial"/>
        <family val="2"/>
      </rPr>
      <t xml:space="preserve"> (estimates in italics)</t>
    </r>
  </si>
  <si>
    <t xml:space="preserve">Note: The Residential, Commercial and Industrial totals do not always add up to the Totals in the right hand column because some utilities only reported one cumulative number and did not break out categories by end-use sector.  </t>
  </si>
  <si>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 (Dale Pugh, USACE)</t>
    </r>
  </si>
  <si>
    <r>
      <rPr>
        <vertAlign val="superscript"/>
        <sz val="10"/>
        <rFont val="Arial"/>
        <family val="2"/>
      </rPr>
      <t>6</t>
    </r>
    <r>
      <rPr>
        <sz val="10"/>
        <rFont val="Arial"/>
        <family val="2"/>
      </rPr>
      <t xml:space="preserve"> In 2015, PPL Montana spun off a new company Talen Energy Corp and placed its Montana coal generation assets under that company.  In June of 2016, Riverstone Holdings LLC purchased Talen.</t>
    </r>
  </si>
  <si>
    <t>-</t>
  </si>
  <si>
    <r>
      <rPr>
        <vertAlign val="superscript"/>
        <sz val="11"/>
        <color theme="1"/>
        <rFont val="Calibri"/>
        <family val="2"/>
        <scheme val="minor"/>
      </rPr>
      <t>8</t>
    </r>
    <r>
      <rPr>
        <sz val="11"/>
        <color theme="1"/>
        <rFont val="Calibri"/>
        <family val="2"/>
        <scheme val="minor"/>
      </rPr>
      <t xml:space="preserve"> </t>
    </r>
    <r>
      <rPr>
        <sz val="10"/>
        <color theme="1"/>
        <rFont val="Arial"/>
        <family val="2"/>
      </rPr>
      <t xml:space="preserve">Horseshoe Bend sells its output to Idaho Power for 9 months of the year, and to NorthWestern Energy for the 3 summer months. </t>
    </r>
  </si>
  <si>
    <t>Note: The following dams were purchased by NorthWestern Energy in 2014 from PPL Montana-Black Eagle, Cochrane, Holter, Hauser, Madison, Morony, Mystic, Ryan, Thompson Falls, Kerr.  Kerr was subsequently purchased in 2015 by the Salish-Kootenai Tribe and renamed Séliš, Ksanka QÍispé.</t>
  </si>
  <si>
    <t xml:space="preserve">The NWE QF Two Dot Wind Farm LLC includes several small wind farms including Martinsdale, Martinsdale S., Mission, Moe Wind, Montana Marginal, and Sheep Valley.  All of these QFs terminated in 2019 or 2020. </t>
  </si>
  <si>
    <t>Colstrip Ownership Percentages, 2022 (based on capability)</t>
  </si>
  <si>
    <t>* less than 50 barrels</t>
  </si>
  <si>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t>
    </r>
  </si>
  <si>
    <t>from Table E5</t>
  </si>
  <si>
    <t>Pryor Mountain</t>
  </si>
  <si>
    <t>Net Montana Generation (GWh)</t>
  </si>
  <si>
    <t>Average Capacity Output 2016-2020</t>
  </si>
  <si>
    <t>Beowulf Electricity and Data/Marathon Digital Holdings</t>
  </si>
  <si>
    <t>Hardin/Big Horn Data Hub</t>
  </si>
  <si>
    <t>Custer, Garfield, Rosebud</t>
  </si>
  <si>
    <r>
      <t>NextEra</t>
    </r>
    <r>
      <rPr>
        <vertAlign val="superscript"/>
        <sz val="10"/>
        <color rgb="FF000000"/>
        <rFont val="Arial"/>
        <family val="2"/>
      </rPr>
      <t>11</t>
    </r>
  </si>
  <si>
    <t>NWE QF - Cycle Power Partners LLC</t>
  </si>
  <si>
    <r>
      <t>Horseshoe Bend</t>
    </r>
    <r>
      <rPr>
        <vertAlign val="superscript"/>
        <sz val="10"/>
        <color rgb="FF000000"/>
        <rFont val="Arial"/>
        <family val="2"/>
      </rPr>
      <t>8</t>
    </r>
  </si>
  <si>
    <t>Table E8. Utility Retail Sales and Consumers by Utility Type, 2021</t>
  </si>
  <si>
    <t>w = withheld</t>
  </si>
  <si>
    <r>
      <t>Colstrip Unit 4 share</t>
    </r>
    <r>
      <rPr>
        <vertAlign val="superscript"/>
        <sz val="10"/>
        <rFont val="Arial"/>
        <family val="2"/>
      </rPr>
      <t>16</t>
    </r>
  </si>
  <si>
    <t>In final TOTALS, NorthWestern Energy's share of Colstrip is not counted because it is already counted in Talen's Colstrip number.  It is shown under NorthWestern Energy to better show what NorthWestern Energy actually generated.  This is subtracted to avoid double counting</t>
  </si>
  <si>
    <t>Oversight Resources/Gordon Butte Wind LLC</t>
  </si>
  <si>
    <t>Pryor Mountain Wind</t>
  </si>
  <si>
    <t>MTSun</t>
  </si>
  <si>
    <r>
      <rPr>
        <vertAlign val="superscript"/>
        <sz val="9"/>
        <rFont val="Arial"/>
        <family val="2"/>
      </rPr>
      <t xml:space="preserve">5 </t>
    </r>
    <r>
      <rPr>
        <sz val="9"/>
        <rFont val="Arial"/>
        <family val="2"/>
      </rPr>
      <t>In early 2020, Colstrip Units 1 and 2 closed down and the Hardin Plant was not running.  The Hardin plant ran for much of 2021.</t>
    </r>
  </si>
  <si>
    <t>Source: U.S. Department of Energy, Energy Information Administration, https://www.eia.gov/electricity/data/eia861/, Form EIA-861 and EIA-861S, U.S. EIA website. The short form was used for 2021 to capture all co-ops. The data in these files has been sorted.</t>
  </si>
  <si>
    <t>Berkshire Hathaway Energy (was Naturener)</t>
  </si>
  <si>
    <t>Naturener was purchased by Berkshire Hathaway in 2022.  First years of data provided by Naturener, as EIA data appear to be incorrect; averages exclude months in the first year of commercial operation.</t>
  </si>
  <si>
    <t>Berkshire Hathaway Energy</t>
  </si>
  <si>
    <t>Berkshire Hathaway Energy (formerly Naturener)</t>
  </si>
  <si>
    <r>
      <t>Sources:</t>
    </r>
    <r>
      <rPr>
        <sz val="10"/>
        <color indexed="8"/>
        <rFont val="Arial"/>
        <family val="2"/>
      </rPr>
      <t xml:space="preserve">  Current generation capacity is initially taken from U.S. DOE Energy Information Administration, EIA-923 and EIA-860 Reports, except where noted: Flathead Landfill Gas to Energy-John Gorosky, Flathead coop; MDU facilities-Darcy Neigum, MDU; YELP-Kelli Schermerhorn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 and QF other wind-Kelli Schermerhorn, NWE; Culbertson Waste Heat/Ormat Technologies--Basin Electric; Lake Creek-Clint Brewington, Northern Lights Cooperative; additional Fort Peck Dam information from Dale Pugh, USACE.</t>
    </r>
    <r>
      <rPr>
        <b/>
        <sz val="10"/>
        <color indexed="8"/>
        <rFont val="Arial"/>
        <family val="2"/>
      </rPr>
      <t xml:space="preserve">  </t>
    </r>
    <r>
      <rPr>
        <sz val="10"/>
        <color rgb="FF000000"/>
        <rFont val="Arial"/>
        <family val="2"/>
      </rPr>
      <t>Generation capacity over time from Montana Energy Office institional knowledge.</t>
    </r>
  </si>
  <si>
    <r>
      <t>Glacier 1 &amp; 2</t>
    </r>
    <r>
      <rPr>
        <vertAlign val="superscript"/>
        <sz val="10"/>
        <color rgb="FF000000"/>
        <rFont val="Arial"/>
        <family val="2"/>
      </rPr>
      <t>12</t>
    </r>
  </si>
  <si>
    <r>
      <t>Rimrock</t>
    </r>
    <r>
      <rPr>
        <vertAlign val="superscript"/>
        <sz val="10"/>
        <color rgb="FF000000"/>
        <rFont val="Arial"/>
        <family val="2"/>
      </rPr>
      <t>12</t>
    </r>
  </si>
  <si>
    <r>
      <rPr>
        <vertAlign val="superscript"/>
        <sz val="10"/>
        <color indexed="8"/>
        <rFont val="Arial"/>
        <family val="2"/>
      </rPr>
      <t xml:space="preserve">5 </t>
    </r>
    <r>
      <rPr>
        <sz val="10"/>
        <color indexed="8"/>
        <rFont val="Arial"/>
        <family val="2"/>
      </rPr>
      <t xml:space="preserve"> 'Other hydro' includes approximately 10 small facilities on private land.  The Two Dot Martindale wind farms went off-line in 2019, so the 'other wind' category no longer exists.</t>
    </r>
  </si>
  <si>
    <r>
      <rPr>
        <vertAlign val="superscript"/>
        <sz val="10"/>
        <color rgb="FF000000"/>
        <rFont val="Arial"/>
        <family val="2"/>
      </rPr>
      <t>12</t>
    </r>
    <r>
      <rPr>
        <sz val="10"/>
        <color indexed="8"/>
        <rFont val="Arial"/>
        <family val="2"/>
      </rPr>
      <t>Power from both Glacier Wind Farm (1 and 2) and the Rimrock Wind Farm goes directly to Morgan Stanley Capital Group LLC in a Power Purchase Agreement through 2026.  Berkshire Hathaway Energy purchased the wind farms from Naturener in 2022</t>
    </r>
  </si>
  <si>
    <t>Northwestern Qualifying Facilities (smaller)</t>
  </si>
  <si>
    <t>Western Area Power Administration (Federally owned)</t>
  </si>
  <si>
    <t>Bonneville Power Administration (Federally Owned)</t>
  </si>
  <si>
    <t>Data was provided in some previous years by Basin Electric Cooperative, as EIA data were incorrect and refered to waste heat recovery in North Dakota and South Dakota.  Recent data from U.S. EIA appears to be correct.  The Ormat Generation runs on heat coming from a pumping station on the Northern Border Pipeline near Culbertson, MT.  That pumping station has not run since 2018 due to gas coming into the Northern Border pipeline from the Bakken (and less gas coming from Canada so that the pump from which heat is generated is not needed). Therefore, Ormat has not been able to produce electricity in the past few years-(Mike Moses, TC Energy, 832-584-0576)</t>
  </si>
  <si>
    <t>Note: In Table E1, NorthWestern Energy QFs were grouped under that category.  In this table, NorthWestern Energy QFs are split out by the company that owns the generation</t>
  </si>
  <si>
    <r>
      <t>2</t>
    </r>
    <r>
      <rPr>
        <sz val="9"/>
        <rFont val="Arial"/>
        <family val="2"/>
      </rPr>
      <t xml:space="preserve"> Output from certain hydro and wind facilities, most notably Lake Creek (1996-2010) and Tiber (2004-2005), aren't included in the EIA database; the sum of these exclusions is around 65-75 million kWh (~8 aMW) at its highest and much less otherwise.  Further, there are several known errors and probably additional errors not known to DEQ. Because the net error in the EIA data is not known, DEQ has not made any corrections in these data except as noted in Footnote 4.</t>
    </r>
  </si>
  <si>
    <r>
      <rPr>
        <vertAlign val="superscript"/>
        <sz val="9"/>
        <rFont val="Arial"/>
        <family val="2"/>
      </rPr>
      <t>6</t>
    </r>
    <r>
      <rPr>
        <sz val="9"/>
        <rFont val="Arial"/>
        <family val="2"/>
      </rPr>
      <t xml:space="preserve"> From 1990 forward, the TOTAL column includes minor amounts of generation from sources not listed in the table. Sources listed in the table from 1990 on under the 'Other' column include electricity generated from biomass, biogas, wood burning,  blast furnace gas, propane gas, and other manufactured and waste gases derived from fossil fuels, and possibly purchased steam from an existing pipeline.  Biomass (electricity from burning wood) is missing from the data for a few years.  Starting in 2008, an additional "other" category was included in the U.S. EIA data increasing the numbers in this columns, most likely capturing landfill gas from the Flathead Co-op landfill-to-gas facility north of Kalispell. Specific Montana plants in the "Other" category include the Stoltz biomass plant, Flathead landfill biogas and Ormat waste heat among others. This table is useful for long-term trends; Table E2 is more detailed for recent production figures. </t>
    </r>
  </si>
  <si>
    <t>NA: Not available. This category is now rolled into Commercial or Industrial; there are no Transportation sales reported in Montana as of 2015.</t>
  </si>
  <si>
    <r>
      <t xml:space="preserve">1 </t>
    </r>
    <r>
      <rPr>
        <sz val="9"/>
        <rFont val="Arial"/>
        <family val="2"/>
      </rPr>
      <t>Beginning in 2003 the 'Other Sector' category has been eliminated. The Residential sector consists of living quarters for private households.  Common uses of energy associated with this sector include space heating, water heating, air conditioning, lighting, refrigeration, cooking, and running a variety of other appliances.  The Commercial sector consists of service-providing facilities and equipment of: businesses; Federal, State, and local governments; and other private and public organizations, such as religious, social, or fraternal groups. The commercial sector includes institutional living quarters and sewage treatment facilities. The industrial sector encompasses the following types of activity: manufacturing, agriculture, forestry, mining, including oil and gas extraction, and construction. Overall energy use in this sector is largely for process heat and cooling and powering machinery, with lesser amounts used for facility heating, air conditioning, and lighting. Source: EIA Electric Power Monthly.</t>
    </r>
  </si>
  <si>
    <t>Apex Solar</t>
  </si>
  <si>
    <t>Beaverhead</t>
  </si>
  <si>
    <t>Beowulf Electricity and Data/Heorot</t>
  </si>
  <si>
    <t>NWE QF - Apex Solar LLC</t>
  </si>
  <si>
    <t>Stillwater Wind (NWE QF)</t>
  </si>
  <si>
    <t>NexTera</t>
  </si>
  <si>
    <t>N/A</t>
  </si>
  <si>
    <t>Note: Avista plans on handing over its share of Colstrip to NorthWestern Energy in 2025</t>
  </si>
  <si>
    <r>
      <t xml:space="preserve">1 </t>
    </r>
    <r>
      <rPr>
        <sz val="10"/>
        <rFont val="Arial"/>
        <family val="2"/>
      </rPr>
      <t>aMW = average megawatt, or 8,760 megawatt hours in a year.  Average Megawatts may include fewer years than the column range given if the generator started up recently</t>
    </r>
  </si>
  <si>
    <r>
      <rPr>
        <vertAlign val="superscript"/>
        <sz val="10"/>
        <rFont val="Arial"/>
        <family val="2"/>
      </rPr>
      <t>3</t>
    </r>
    <r>
      <rPr>
        <sz val="10"/>
        <rFont val="Arial"/>
        <family val="2"/>
      </rPr>
      <t xml:space="preserve"> Distributes power generated at one US Corps of Engineers (Libby) and one US Bureau of Reclamation (Hungry Horse) dam.</t>
    </r>
  </si>
  <si>
    <r>
      <rPr>
        <vertAlign val="superscript"/>
        <sz val="10"/>
        <rFont val="Arial"/>
        <family val="2"/>
      </rPr>
      <t>4</t>
    </r>
    <r>
      <rPr>
        <sz val="10"/>
        <rFont val="Arial"/>
        <family val="2"/>
      </rPr>
      <t xml:space="preserve"> NorthWestern Energy's number does not include most of their QFs with the exception of three smaller NorthWestern Energy QFs.</t>
    </r>
  </si>
  <si>
    <r>
      <rPr>
        <vertAlign val="superscript"/>
        <sz val="10"/>
        <rFont val="Arial"/>
        <family val="2"/>
      </rPr>
      <t>5</t>
    </r>
    <r>
      <rPr>
        <sz val="10"/>
        <rFont val="Arial"/>
        <family val="2"/>
      </rPr>
      <t xml:space="preserve"> In 2014, the Salish-Kootenai Tribe took over the Kerr Dam from NorthWestern Energy and renamed it.  Before that, is was owned by PPL Montana.</t>
    </r>
  </si>
  <si>
    <r>
      <t xml:space="preserve">6 </t>
    </r>
    <r>
      <rPr>
        <sz val="10"/>
        <rFont val="Arial"/>
        <family val="2"/>
      </rPr>
      <t>Distributes power generated at one US Corps of Engineers and two US Bureau of Reclamation dams.</t>
    </r>
  </si>
  <si>
    <r>
      <t xml:space="preserve">7 </t>
    </r>
    <r>
      <rPr>
        <sz val="10"/>
        <rFont val="Arial"/>
        <family val="2"/>
      </rPr>
      <t>Other includes Stoltz co-gen plant and Granite County</t>
    </r>
  </si>
  <si>
    <r>
      <rPr>
        <vertAlign val="superscript"/>
        <sz val="10"/>
        <rFont val="Arial"/>
        <family val="2"/>
      </rPr>
      <t>8</t>
    </r>
    <r>
      <rPr>
        <sz val="10"/>
        <rFont val="Arial"/>
        <family val="2"/>
      </rPr>
      <t xml:space="preserve"> In 2014, NorthWestern Energy took over PPL's hydro dams.  For simplicity, the hydros are included under 'Talen (includes former PPL assets) up to 2015, and are included under 'NorthWestern Energy' for the 2016-20 timeframe</t>
    </r>
  </si>
  <si>
    <t>Allete Energy</t>
  </si>
  <si>
    <t>D.A. Wind</t>
  </si>
  <si>
    <t>71 Ranch</t>
  </si>
  <si>
    <t>Two Dot Wind Broadview East</t>
  </si>
  <si>
    <r>
      <rPr>
        <b/>
        <sz val="10"/>
        <rFont val="Arial"/>
        <family val="2"/>
      </rPr>
      <t>Note</t>
    </r>
    <r>
      <rPr>
        <sz val="10"/>
        <rFont val="Arial"/>
        <family val="2"/>
      </rPr>
      <t xml:space="preserve">: Included companies must generate at least 1.0 aMW over several years.  Includes all electricity generation in Montana regardless of where that power is consumed. </t>
    </r>
  </si>
  <si>
    <r>
      <t>Table E5. Net Electric Generation by Type of Fuel Unit, 1960-2022</t>
    </r>
    <r>
      <rPr>
        <b/>
        <vertAlign val="superscript"/>
        <sz val="14"/>
        <rFont val="Arial"/>
        <family val="2"/>
      </rPr>
      <t>1,2,4</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</si>
  <si>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2001-2021 (Data from forms EIA-861- schedules 4A-D, EIA-861S and EIA-861U), 2022-U.S. EIA Electricity Data Browser.</t>
    </r>
  </si>
  <si>
    <t>Table E8. Utility Retail Sales and Consumers by Utility Type, 2022</t>
  </si>
  <si>
    <t>Cooperatives</t>
  </si>
  <si>
    <t>Federal</t>
  </si>
  <si>
    <t>Investor Owned</t>
  </si>
  <si>
    <t>Power marketers</t>
  </si>
  <si>
    <t>Note: In Table E1, NorthWestern Energy QFs were listed together grouped under one category.  In this table, NorthWestern Energy QFs are split out by the company that owns the generation</t>
  </si>
  <si>
    <t>Note: N/A means that the data is not available</t>
  </si>
  <si>
    <t>Note: Total Electric Generation Capacity for Montana in Table E2 may differ in facilities named from Table E1 due to newer facilities included in E1 not yet reflected in 2022 generation data in E2.</t>
  </si>
  <si>
    <t>Note: In final TOTALS, NorthWestern Energy's share of Colstrip is not counted because it is already counted in Talen's Colstrip number.  Electricity generated is shown a second time under NorthWestern Energy to better show what NorthWestern Energy actually generated, but the NorthWestern Unit 4 number is not counted in the TOTALS in order to avoid double counting</t>
  </si>
  <si>
    <r>
      <t>Lewis-Clark</t>
    </r>
    <r>
      <rPr>
        <vertAlign val="superscript"/>
        <sz val="10"/>
        <rFont val="Arial"/>
        <family val="2"/>
      </rPr>
      <t>6</t>
    </r>
    <r>
      <rPr>
        <sz val="10"/>
        <rFont val="Arial"/>
        <family val="2"/>
      </rPr>
      <t xml:space="preserve"> (coal unit closed in 2021; natural gas peaker)</t>
    </r>
  </si>
  <si>
    <t>MDU's Lewis and Clark plant totals include a natural gas plant built in 2015 which supplied less than 1 aMW in 2017.  The main Lewis and Clark coal plant which provided most of the energy closed in 2021.</t>
  </si>
  <si>
    <t xml:space="preserve">Operated by Talen/Riverstone; actual ownership shared with five other utilities (see Table E3).  The energy generation value under 'Talen' includes Colstrip energy produced by Talen, Puget Sound, Pacificorp, Portland General Electric, NorthWestern Energy and Avista. </t>
  </si>
  <si>
    <r>
      <t>Western Area Power Administration (dams owned by U.S. gov)</t>
    </r>
    <r>
      <rPr>
        <vertAlign val="superscript"/>
        <sz val="10"/>
        <rFont val="Arial"/>
        <family val="2"/>
      </rPr>
      <t>6</t>
    </r>
  </si>
  <si>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in Montana for electricity is in the form of petroleum coke at YELP which opened in 1995 and accounts for the uptick in that column.</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</si>
  <si>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1990-2022, Form EIA-923 detailed data with previous form data (EIA-906/920), 'Net Generation by State by Type of Producer by Energy Source, fille named 'Annual_generation_state', https://www.eia.gov/electricity/data/state/.  Up to 2019, Solar data came from NWE generating capacity additions as reported by Montana Renewable Energy Association based on data from NWE.</t>
    </r>
    <r>
      <rPr>
        <b/>
        <sz val="9"/>
        <rFont val="Arial"/>
        <family val="2"/>
      </rPr>
      <t xml:space="preserve"> </t>
    </r>
    <r>
      <rPr>
        <sz val="9"/>
        <rFont val="Arial"/>
        <family val="2"/>
      </rPr>
      <t xml:space="preserve"> As of 2020, solar data is from the same source as the other fuels.</t>
    </r>
  </si>
  <si>
    <r>
      <t xml:space="preserve">5 </t>
    </r>
    <r>
      <rPr>
        <sz val="9"/>
        <rFont val="Arial"/>
        <family val="2"/>
      </rPr>
      <t>Solar data includes all utility scale generation, which is 1MW or larger.  In Montana, this includes energy from large solar farms that are 2 MW to 80 MW in size. It does not include very small wind or solar units such as those owned by residential customers (net-metered systems) or some community solar projects.</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</si>
  <si>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(2000-2022), Annual-by sector by state; https://www.eia.gov/electricity/data/state/.</t>
    </r>
  </si>
  <si>
    <t>Federal marketers</t>
  </si>
  <si>
    <t>Estimated Percent Exported out of state</t>
  </si>
  <si>
    <t>Plant</t>
  </si>
  <si>
    <t>aMW</t>
  </si>
  <si>
    <t>NorthWestern Energy LLC - (MT)</t>
  </si>
  <si>
    <t>Black Hills Power, Inc.</t>
  </si>
  <si>
    <t>Avista Corp</t>
  </si>
  <si>
    <t>Data Year</t>
  </si>
  <si>
    <t>Utility Name</t>
  </si>
  <si>
    <t>Ownership</t>
  </si>
  <si>
    <t>Megawatthours</t>
  </si>
  <si>
    <t>Count</t>
  </si>
  <si>
    <t>USBIA-Mission Valley Power</t>
  </si>
  <si>
    <t>WAPA-- Western Area Power Administration</t>
  </si>
  <si>
    <t>Morgan Stanley Capital Grp Inc</t>
  </si>
  <si>
    <t>Retail Power Marketer</t>
  </si>
  <si>
    <t>Talen Energy Marketing, LLC</t>
  </si>
  <si>
    <t>Northern Lights, Inc</t>
  </si>
  <si>
    <t>Cooperative</t>
  </si>
  <si>
    <t>Powder River Energy Corp</t>
  </si>
  <si>
    <t>Yellowstone Valley Elec Co-op</t>
  </si>
  <si>
    <t>Fergus Electric Coop, Inc</t>
  </si>
  <si>
    <t>Beartooth Electric Coop, Inc</t>
  </si>
  <si>
    <t>Big Flat Electric Coop Inc</t>
  </si>
  <si>
    <t>Big Horn Rural Electric Co</t>
  </si>
  <si>
    <t>Big Horn County Elec Coop, Inc</t>
  </si>
  <si>
    <t>Glacier Electric Coop, Inc</t>
  </si>
  <si>
    <t>Goldenwest Electric Coop, Inc</t>
  </si>
  <si>
    <t>Grand Electric Coop, Inc</t>
  </si>
  <si>
    <t>Hill County Electric Coop, Inc</t>
  </si>
  <si>
    <t>Lincoln Electric Coop, Inc</t>
  </si>
  <si>
    <t>Marias River Electric Coop Inc</t>
  </si>
  <si>
    <t>McCone Electric Coop Inc</t>
  </si>
  <si>
    <t>Mid-Yellowstone Elec Coop, Inc</t>
  </si>
  <si>
    <t>NorVal Electric Cooperative, Inc</t>
  </si>
  <si>
    <t>Park Electric Coop Inc</t>
  </si>
  <si>
    <t>Sheridan Electric Coop, Inc</t>
  </si>
  <si>
    <t>Southeast Electric Coop, Inc</t>
  </si>
  <si>
    <t>Sun River Electric Coop, Inc</t>
  </si>
  <si>
    <t>Tongue River Electric Coop Inc</t>
  </si>
  <si>
    <t>City of Troy - (MT)</t>
  </si>
  <si>
    <t>Vigilante Electric Coop, Inc</t>
  </si>
  <si>
    <t>Ravalli County Elec Coop, Inc</t>
  </si>
  <si>
    <t>Percent of Total Montana Sales</t>
  </si>
  <si>
    <t>Investor Owned Utilities</t>
  </si>
  <si>
    <r>
      <t>Federal Entities Selling to Montana</t>
    </r>
    <r>
      <rPr>
        <b/>
        <vertAlign val="superscript"/>
        <sz val="10"/>
        <color rgb="FF000000"/>
        <rFont val="Arial"/>
        <family val="2"/>
      </rPr>
      <t>1</t>
    </r>
  </si>
  <si>
    <t>Fall River Rural Elec Coop Inc</t>
  </si>
  <si>
    <t>Flathead Electric Coop Inc</t>
  </si>
  <si>
    <t>Lower Yellowstone R E A, Inc</t>
  </si>
  <si>
    <t>McKenzie Electric Coop Inc</t>
  </si>
  <si>
    <t>Missoula Electric Coop, Inc</t>
  </si>
  <si>
    <t>Noxon Rapids Dam</t>
  </si>
  <si>
    <t>Rim Rock Wind Farm</t>
  </si>
  <si>
    <t>Hungry Horse Dam</t>
  </si>
  <si>
    <t>Libby Dam</t>
  </si>
  <si>
    <t>Judith Gap Wind</t>
  </si>
  <si>
    <t>Ryan Dam</t>
  </si>
  <si>
    <t>Thompson Falls Dam</t>
  </si>
  <si>
    <t>Selis Ksanka Qlispe Dam</t>
  </si>
  <si>
    <t>Colstrip Coal Fired Plant</t>
  </si>
  <si>
    <t>Fort Peck Dam</t>
  </si>
  <si>
    <t>Yellowtail Dam</t>
  </si>
  <si>
    <t>Corrette Coal Fired Plant</t>
  </si>
  <si>
    <t>All Other Generators</t>
  </si>
  <si>
    <r>
      <rPr>
        <vertAlign val="superscript"/>
        <sz val="11"/>
        <color theme="1"/>
        <rFont val="Calibri"/>
        <family val="2"/>
        <scheme val="minor"/>
      </rPr>
      <t>1</t>
    </r>
    <r>
      <rPr>
        <sz val="11"/>
        <color theme="1"/>
        <rFont val="Calibri"/>
        <family val="2"/>
        <scheme val="minor"/>
      </rPr>
      <t xml:space="preserve"> Bonneville Power Administration sells in Montana to cooperatives, but not directly to end customers, so it is not included.  The same applies to Basin Electric.</t>
    </r>
  </si>
  <si>
    <t>Source: Same as Table E8.</t>
  </si>
  <si>
    <t>All figures in annual average MW or aMW</t>
  </si>
  <si>
    <t xml:space="preserve">Montana Generation by Largest In-State Plant Owners (in annual average MW or aMW) </t>
  </si>
  <si>
    <r>
      <t>Table E3. Average Montana Generation by Company; 2006-2010, and 2011-2015, 2016-2020 and 2021-2022</t>
    </r>
    <r>
      <rPr>
        <b/>
        <vertAlign val="superscript"/>
        <sz val="14"/>
        <rFont val="Arial"/>
        <family val="2"/>
      </rPr>
      <t>1</t>
    </r>
  </si>
  <si>
    <r>
      <t xml:space="preserve">2 </t>
    </r>
    <r>
      <rPr>
        <sz val="10"/>
        <rFont val="Arial"/>
        <family val="2"/>
      </rPr>
      <t>Output for Colstrip 1-4 is reported for the entire facility, not individual units.  In this table, output was allocated/estimated among the partners on the basis of their ownership percentages as individual company outputs were not available.</t>
    </r>
    <r>
      <rPr>
        <vertAlign val="superscript"/>
        <sz val="10"/>
        <rFont val="Arial"/>
        <family val="2"/>
      </rPr>
      <t xml:space="preserve">  </t>
    </r>
    <r>
      <rPr>
        <sz val="10"/>
        <rFont val="Arial"/>
        <family val="2"/>
      </rPr>
      <t>Puget Sound purchases NextEra's wind.</t>
    </r>
  </si>
  <si>
    <r>
      <t>NextEra</t>
    </r>
    <r>
      <rPr>
        <vertAlign val="superscript"/>
        <sz val="10"/>
        <rFont val="Arial"/>
        <family val="2"/>
      </rPr>
      <t>2</t>
    </r>
  </si>
  <si>
    <r>
      <rPr>
        <vertAlign val="superscript"/>
        <sz val="10"/>
        <rFont val="Arial"/>
        <family val="2"/>
      </rPr>
      <t>9</t>
    </r>
    <r>
      <rPr>
        <sz val="10"/>
        <rFont val="Arial"/>
        <family val="2"/>
      </rPr>
      <t>Colstrip units 1 and 2 shut down in 2020 which accounts for some of the decrease in Montana's total average electricity produced in 2021-2022</t>
    </r>
  </si>
  <si>
    <r>
      <t>Chart E3b.  Average Annual Electric Generation By Largest Plants in Montana, 2016-2020</t>
    </r>
    <r>
      <rPr>
        <b/>
        <vertAlign val="superscript"/>
        <sz val="14"/>
        <rFont val="Arial"/>
        <family val="2"/>
      </rPr>
      <t xml:space="preserve"> </t>
    </r>
    <r>
      <rPr>
        <b/>
        <sz val="14"/>
        <rFont val="Arial"/>
        <family val="2"/>
      </rPr>
      <t>(aMW)</t>
    </r>
  </si>
  <si>
    <r>
      <t xml:space="preserve">1 </t>
    </r>
    <r>
      <rPr>
        <sz val="10"/>
        <color indexed="8"/>
        <rFont val="Arial"/>
        <family val="2"/>
      </rPr>
      <t xml:space="preserve">One average megawatt = 8,760 megawatt hours.  One average megawatt is enough to power about 800 Northwest homes for a year according to https://www.nwcouncil.org/reports/columbia-river-history/megawatt. </t>
    </r>
  </si>
  <si>
    <r>
      <t>2</t>
    </r>
    <r>
      <rPr>
        <sz val="10"/>
        <rFont val="Arial"/>
        <family val="2"/>
      </rPr>
      <t xml:space="preserve"> These figures include direct sales and not the delivery-only electricity on NWE's system which is largely covered under the Power marketers numbers</t>
    </r>
  </si>
  <si>
    <r>
      <t xml:space="preserve">3 </t>
    </r>
    <r>
      <rPr>
        <sz val="10"/>
        <rFont val="Arial"/>
        <family val="2"/>
      </rPr>
      <t>Used to be PPL EnergyPlus LLC</t>
    </r>
  </si>
  <si>
    <r>
      <t>4</t>
    </r>
    <r>
      <rPr>
        <sz val="10"/>
        <rFont val="Arial"/>
        <family val="2"/>
      </rPr>
      <t xml:space="preserve">In 2020, most co-ops in Montana only filled out the short form, which only required reporting total amounts for the year, and did not require those co-ops to report totals by end use sector.  Thus, the Residential, Commercial and Industrial Cooperative numbers are not shown.  The final co-op numbers are actual numbers reported on the short form. </t>
    </r>
  </si>
  <si>
    <r>
      <t xml:space="preserve">5 </t>
    </r>
    <r>
      <rPr>
        <sz val="10"/>
        <rFont val="Arial"/>
        <family val="2"/>
      </rPr>
      <t>Because consumer class sales totals are not given for each class in the 'Cooperative category', no totals are given in those columns.  To see final consumer class sales totals, go to tab E6. The Grand total in this table is taken from adding up the final column on the right.  Sums from table E6 do not exactly add up to totals in this table due to differnet  data sources.</t>
    </r>
  </si>
  <si>
    <t>Chart E10. Wind Electricity Production in Montana, 2005-2022</t>
  </si>
  <si>
    <t>Clearwater Wind Project Phase 1</t>
  </si>
  <si>
    <t>Clearwater Wind Project Phase 2</t>
  </si>
  <si>
    <t>2001-2005</t>
  </si>
  <si>
    <t>1995-1999</t>
  </si>
  <si>
    <t>Talen/(PPL until 2015)</t>
  </si>
  <si>
    <t>Bershire Hathaway (Naturaner)</t>
  </si>
  <si>
    <r>
      <t>Table E1.  Electric Power Generating Capacity by Company and Plant as of October 2024</t>
    </r>
    <r>
      <rPr>
        <b/>
        <vertAlign val="superscript"/>
        <sz val="14"/>
        <color indexed="8"/>
        <rFont val="Arial"/>
        <family val="2"/>
      </rPr>
      <t>1</t>
    </r>
    <r>
      <rPr>
        <b/>
        <sz val="14"/>
        <color indexed="8"/>
        <rFont val="Arial"/>
        <family val="2"/>
      </rPr>
      <t xml:space="preserve"> (Megawatts-MW)</t>
    </r>
  </si>
  <si>
    <t>MT Sun (NWE QF)</t>
  </si>
  <si>
    <t>Apex Solar LLC</t>
  </si>
  <si>
    <t>Apex Solar (NWE QF)</t>
  </si>
  <si>
    <t>Clearwater Wind I</t>
  </si>
  <si>
    <t>Clearwater Wind II</t>
  </si>
  <si>
    <r>
      <t>Sources:</t>
    </r>
    <r>
      <rPr>
        <sz val="10"/>
        <color indexed="8"/>
        <rFont val="Arial"/>
        <family val="2"/>
      </rPr>
      <t xml:space="preserve"> The initial operation date, name and location for facilities is from DEQ Energy Office institutional knowledge and inquiries with utilities over time.  NorthWestern Energy has been particularly helpful with data. Current generation capacity is annually obtained from the U.S. DOE, Energy Information Administration, EIA-923 and EIA-860 Reports, except where noted: Flathead Landfill Gas to Energy-John Gorosky, Flathead coop; MDU facilities-Darcy Neigum, MDU; YELP-Kelli Schermerhorn at NWE and Dan Carter at Exxon; Noxon Dam-Steve Esch, Avista; NorthWestern Energy facilities-Benjamin Fitch-Fleischmann, NWE--large hydro updated by Carrie Harris, NWE; NWE QFs including YELP, CELP, Two Dot Wind Farm, Broadwater Dam, South Dry Creek, Gordon Butte, Fairview, QF other hydro-Kelli Schermerhorn and Thomas Michelotti, NWE; Culbertson Waste Heat/Ormat Technologies-Basin Electric; Lake Creek-Clint Brewington, Northern Lights Cooperative; additional Fort Peck Dam information from Dale Pugh, USACE.</t>
    </r>
  </si>
  <si>
    <r>
      <t>Table E2.  Net Electric Generation and Average Generation By Plant and Ownership, 2006-2023</t>
    </r>
    <r>
      <rPr>
        <b/>
        <vertAlign val="superscript"/>
        <sz val="14"/>
        <rFont val="Arial"/>
        <family val="2"/>
      </rPr>
      <t xml:space="preserve">1 </t>
    </r>
    <r>
      <rPr>
        <b/>
        <sz val="14"/>
        <rFont val="Arial"/>
        <family val="2"/>
      </rPr>
      <t>(MWh)</t>
    </r>
  </si>
  <si>
    <t>2021-2023</t>
  </si>
  <si>
    <t xml:space="preserve">Tiber Montana, LLC </t>
  </si>
  <si>
    <t>Yellowstone Generating Station</t>
  </si>
  <si>
    <t>Clearwater Wind Project Phase 3</t>
  </si>
  <si>
    <r>
      <t>11</t>
    </r>
    <r>
      <rPr>
        <sz val="10"/>
        <rFont val="Arial"/>
        <family val="2"/>
      </rPr>
      <t>Puget Sound Energy is the current purchaser of the energy from the first 350 MW of this plant.  Portland General Electric is the current purchaser of the next 300 MW of this plant.  The next 100 MW will go to Avista.</t>
    </r>
  </si>
  <si>
    <t>Chart E1b.  Montana Electric Power Generating Capacity by Fuel Type, 1970-2024 (by Total Percentage of Electricity Capacity in Montana)</t>
  </si>
  <si>
    <t xml:space="preserve">Chart E1a.  Montana Electric Power Generating Capacity by Fuel Type, 1970-2024 (Total MW Capacity) </t>
  </si>
  <si>
    <t>Hydro Capacity</t>
  </si>
  <si>
    <t>Coal Capacity</t>
  </si>
  <si>
    <t>Natural Gas Capacity</t>
  </si>
  <si>
    <t>Pet Coke Capacity</t>
  </si>
  <si>
    <t>Wind Capacity</t>
  </si>
  <si>
    <t>Solar Capacity</t>
  </si>
  <si>
    <t>Other Capacity</t>
  </si>
  <si>
    <t>PERCENTAGES Total Electricity Capacity by Fuel</t>
  </si>
  <si>
    <t>Bonneville Power Administration (federally owned)</t>
  </si>
  <si>
    <t>BPA (federally owned)</t>
  </si>
  <si>
    <r>
      <rPr>
        <b/>
        <sz val="11"/>
        <color theme="1"/>
        <rFont val="Calibri"/>
        <family val="2"/>
        <scheme val="minor"/>
      </rPr>
      <t>Source</t>
    </r>
    <r>
      <rPr>
        <sz val="11"/>
        <color theme="1"/>
        <rFont val="Calibri"/>
        <family val="2"/>
        <scheme val="minor"/>
      </rPr>
      <t xml:space="preserve">: Table E1 </t>
    </r>
  </si>
  <si>
    <r>
      <t>Energy Keepers (Salish-Kootenai)</t>
    </r>
    <r>
      <rPr>
        <vertAlign val="superscript"/>
        <sz val="10"/>
        <rFont val="Arial"/>
        <family val="2"/>
      </rPr>
      <t>5</t>
    </r>
  </si>
  <si>
    <t xml:space="preserve">Energy Keepers </t>
  </si>
  <si>
    <r>
      <t>2021-2023</t>
    </r>
    <r>
      <rPr>
        <b/>
        <vertAlign val="superscript"/>
        <sz val="10"/>
        <rFont val="Arial"/>
        <family val="2"/>
      </rPr>
      <t>9</t>
    </r>
  </si>
  <si>
    <t>NextERA</t>
  </si>
  <si>
    <t>Chart E3a. Electricty Ownership Capacity in Montana by Company, 1970-2024 (Total MW)</t>
  </si>
  <si>
    <t>cpi (inflationdata.com)</t>
  </si>
  <si>
    <t>inflation adjustments</t>
  </si>
  <si>
    <t>All Montana Sales</t>
  </si>
  <si>
    <t>Electric Generation by Largest Plants in Montana, 2023 (MWh)</t>
  </si>
  <si>
    <t>MWh</t>
  </si>
  <si>
    <t>Colstrip</t>
  </si>
  <si>
    <t>NaturEner Rim Rock Energy (Wind)</t>
  </si>
  <si>
    <t>(I should make a more specific title indicating 10 top generators of electricity in 2023)</t>
  </si>
  <si>
    <t>Net Summer Capacity By Largest Plants in Montana, 2023 (MW)</t>
  </si>
  <si>
    <r>
      <t>Source:</t>
    </r>
    <r>
      <rPr>
        <sz val="10"/>
        <rFont val="Arial"/>
        <family val="2"/>
      </rPr>
      <t xml:space="preserve"> U.S. Department of Energy, Energy Information Administration, and more recently,'EIA-923 Monthly Generation and Fuel Consumption Time Series File', 2006-2023, 906 and 920 databases except as follows:  Flathead Landfill Gas to Energy-John Gorosky, Flathead coop; BPA facilities Hungry Horse and Libby Dam, Kate Wilson; MDU facilities-Darcy Neigum, MDU; NWE QFs including YELP, CELP, Two Dot Wind Farm, Broadwater Dam, South Dry Creek, Gordon Butte, Martinsdale Wind, Martinsdale S., Fairview, QF other hydro and QF other wind, other generators-Tom Michelotti, NWE; Culbertson Waste Heat/Ormat Technologies, Basin Electric; WAPA facilities, Gayle Nansel; Noxon Dam, Avista, Pat Maher, 509-495-4283, patrick.maher@avistacorp.com; Pacificorp, Summer Payne, summer.payne@pacificorp.com; Lake Creek-Clint Brewington, Northern Lights Cooperative; Additional sources listed in footnotes 3-5 and 7.</t>
    </r>
  </si>
  <si>
    <r>
      <t>Table E4. Annual Consumption of Fuels for Electric Generation, 1960-2023</t>
    </r>
    <r>
      <rPr>
        <b/>
        <vertAlign val="superscript"/>
        <sz val="14"/>
        <rFont val="Arial"/>
        <family val="2"/>
      </rPr>
      <t>1</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</si>
  <si>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and Monthly Energy Review  (EIA-906/920), found in file 'Annual_consumption_state' (1990-2023) found at https://www.eia.gov/electricity/data/state/.  </t>
    </r>
  </si>
  <si>
    <r>
      <rPr>
        <vertAlign val="superscript"/>
        <sz val="9"/>
        <rFont val="Arial"/>
        <family val="2"/>
      </rPr>
      <t xml:space="preserve">4 </t>
    </r>
    <r>
      <rPr>
        <sz val="9"/>
        <rFont val="Arial"/>
        <family val="2"/>
      </rPr>
      <t>The Frank Bird Natural Gas plant in Billings stopped operating in the early 1980's, which likely accounts for the sudden drop in natural gas used for electric generation in 1982.  The Basin Creek Power plant opened in 2006 accounting for some uptick in natural gas usage. The Dave Gates Generating Station which began production in 2011 accounts for the significant uptick in natural gas usage for 2011.  It is unclear why natural gas use for generation is up in 2022 and 2023. This increase in natural gas usage, increasing wind generation, and above average run-off years in 2011 and 2012 are some of the reasons for lower coal usage starting in 2011.  Lower coal amounts in 2020 are due to Colstrip units 1 and 2 shutting down.</t>
    </r>
  </si>
  <si>
    <r>
      <t>Table E7. Average Annual Retail Prices for Electricity Sold, 1960-2023 (cents per kilowatt-hour)</t>
    </r>
    <r>
      <rPr>
        <b/>
        <vertAlign val="superscript"/>
        <sz val="14"/>
        <rFont val="Arial"/>
        <family val="2"/>
      </rPr>
      <t>1</t>
    </r>
  </si>
  <si>
    <t>Table E6. Annual Sales of Electricity by Sector, 1960-2023 (million kilowatt-hours)</t>
  </si>
  <si>
    <t>Table E8a. Utility Retail Sales and Consumers by Utility Type by Utility, 2023</t>
  </si>
  <si>
    <t>Table E8. Utility Retail Sales and Consumers by Utility Type, 2023</t>
  </si>
  <si>
    <t>Municipal</t>
  </si>
  <si>
    <t>STATE TOTAL</t>
  </si>
  <si>
    <t>Table E9. Montana Electricity Exports and Estimated Export Percentage, 1960-2023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</si>
</sst>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quot;$&quot;#,##0"/>
    <numFmt numFmtId="166" formatCode="#,##0.0"/>
    <numFmt numFmtId="167" formatCode="_(* #,##0_);_(* \(#,##0\);_(* &quot;-&quot;??_);_(@_)"/>
    <numFmt numFmtId="168" formatCode="#,##0.000"/>
    <numFmt numFmtId="169" formatCode="0.0%"/>
    <numFmt numFmtId="170" formatCode="_(* #,##0.0_);_(* \(#,##0.0\);_(* &quot;-&quot;??_);_(@_)"/>
  </numFmts>
  <fonts count="78">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9C6500"/>
      <name val="Calibri"/>
      <family val="2"/>
      <scheme val="minor"/>
    </font>
    <font>
      <b/>
      <sz val="11"/>
      <color rgb="FFFF0000"/>
      <name val="Calibri"/>
      <family val="2"/>
      <scheme val="minor"/>
    </font>
    <font>
      <sz val="9"/>
      <color rgb="FFFFFFFF"/>
      <name val="Arial"/>
      <family val="2"/>
    </font>
    <font>
      <sz val="10"/>
      <color theme="1"/>
      <name val="Calibri"/>
      <family val="2"/>
      <scheme val="minor"/>
    </font>
    <font>
      <vertAlign val="superscript"/>
      <sz val="10"/>
      <color rgb="FF000000"/>
      <name val="Arial"/>
      <family val="2"/>
    </font>
    <font>
      <b/>
      <vertAlign val="superscript"/>
      <sz val="10"/>
      <color rgb="FF000000"/>
      <name val="Arial"/>
      <family val="2"/>
    </font>
    <font>
      <sz val="10"/>
      <color rgb="FF4D5156"/>
      <name val="Calibri"/>
      <family val="2"/>
      <scheme val="minor"/>
    </font>
    <font>
      <b/>
      <sz val="10"/>
      <color rgb="FF5F6368"/>
      <name val="Calibri"/>
      <family val="2"/>
      <scheme val="minor"/>
    </font>
    <font>
      <sz val="11"/>
      <color rgb="FF0000FF"/>
      <name val="Calibri"/>
      <family val="2"/>
      <scheme val="minor"/>
    </font>
    <font>
      <sz val="11"/>
      <color rgb="FF0066FF"/>
      <name val="Calibri"/>
      <family val="2"/>
      <scheme val="minor"/>
    </font>
    <font>
      <b/>
      <sz val="12"/>
      <color theme="1"/>
      <name val="Calibri"/>
      <family val="2"/>
      <scheme val="minor"/>
    </font>
    <font>
      <sz val="10"/>
      <color indexed="8"/>
      <name val="Arial"/>
      <family val="2"/>
    </font>
    <font>
      <sz val="10"/>
      <color indexed="8"/>
      <name val="Arial"/>
    </font>
    <font>
      <b/>
      <sz val="14"/>
      <color rgb="FF595959"/>
      <name val="Calibri"/>
      <family val="2"/>
      <scheme val="minor"/>
    </font>
    <font>
      <b/>
      <sz val="10"/>
      <color theme="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5F1"/>
        <bgColor rgb="FF000000"/>
      </patternFill>
    </fill>
    <fill>
      <patternFill patternType="solid">
        <fgColor rgb="FFFFFFFF"/>
        <bgColor rgb="FF000000"/>
      </patternFill>
    </fill>
    <fill>
      <patternFill patternType="solid">
        <fgColor rgb="FFD8E5F1"/>
        <bgColor indexed="64"/>
      </patternFill>
    </fill>
    <fill>
      <patternFill patternType="solid">
        <fgColor theme="9" tint="0.39997558519241921"/>
        <bgColor rgb="FF000000"/>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ck">
        <color auto="1"/>
      </top>
      <bottom style="thick">
        <color auto="1"/>
      </bottom>
      <diagonal/>
    </border>
    <border>
      <left/>
      <right style="thin">
        <color indexed="64"/>
      </right>
      <top style="thick">
        <color auto="1"/>
      </top>
      <bottom style="thick">
        <color auto="1"/>
      </bottom>
      <diagonal/>
    </border>
  </borders>
  <cellStyleXfs count="55">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1" fillId="0" borderId="12"/>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25" applyNumberFormat="0" applyFill="0" applyAlignment="0" applyProtection="0"/>
    <xf numFmtId="0" fontId="54" fillId="0" borderId="26" applyNumberFormat="0" applyFill="0" applyAlignment="0" applyProtection="0"/>
    <xf numFmtId="0" fontId="54" fillId="0" borderId="0" applyNumberFormat="0" applyFill="0" applyBorder="0" applyAlignment="0" applyProtection="0"/>
    <xf numFmtId="0" fontId="55" fillId="2" borderId="0" applyNumberFormat="0" applyBorder="0" applyAlignment="0" applyProtection="0"/>
    <xf numFmtId="0" fontId="56" fillId="3" borderId="0" applyNumberFormat="0" applyBorder="0" applyAlignment="0" applyProtection="0"/>
    <xf numFmtId="0" fontId="57" fillId="5" borderId="27" applyNumberFormat="0" applyAlignment="0" applyProtection="0"/>
    <xf numFmtId="0" fontId="58" fillId="6" borderId="28" applyNumberFormat="0" applyAlignment="0" applyProtection="0"/>
    <xf numFmtId="0" fontId="59" fillId="6" borderId="27" applyNumberFormat="0" applyAlignment="0" applyProtection="0"/>
    <xf numFmtId="0" fontId="60" fillId="0" borderId="29" applyNumberFormat="0" applyFill="0" applyAlignment="0" applyProtection="0"/>
    <xf numFmtId="0" fontId="61" fillId="7" borderId="30" applyNumberFormat="0" applyAlignment="0" applyProtection="0"/>
    <xf numFmtId="0" fontId="42" fillId="0" borderId="0" applyNumberFormat="0" applyFill="0" applyBorder="0" applyAlignment="0" applyProtection="0"/>
    <xf numFmtId="0" fontId="1" fillId="8" borderId="31" applyNumberFormat="0" applyFont="0" applyAlignment="0" applyProtection="0"/>
    <xf numFmtId="0" fontId="62" fillId="0" borderId="0" applyNumberFormat="0" applyFill="0" applyBorder="0" applyAlignment="0" applyProtection="0"/>
    <xf numFmtId="0" fontId="43" fillId="0" borderId="32" applyNumberFormat="0" applyFill="0" applyAlignment="0" applyProtection="0"/>
    <xf numFmtId="0" fontId="4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3" fillId="4" borderId="0" applyNumberFormat="0" applyBorder="0" applyAlignment="0" applyProtection="0"/>
    <xf numFmtId="0" fontId="2" fillId="0" borderId="0"/>
    <xf numFmtId="0" fontId="2" fillId="0" borderId="0"/>
    <xf numFmtId="0" fontId="48" fillId="12" borderId="0" applyNumberFormat="0" applyBorder="0" applyAlignment="0" applyProtection="0"/>
    <xf numFmtId="0" fontId="48" fillId="16" borderId="0" applyNumberFormat="0" applyBorder="0" applyAlignment="0" applyProtection="0"/>
    <xf numFmtId="0" fontId="48" fillId="20" borderId="0" applyNumberFormat="0" applyBorder="0" applyAlignment="0" applyProtection="0"/>
    <xf numFmtId="0" fontId="48" fillId="24" borderId="0" applyNumberFormat="0" applyBorder="0" applyAlignment="0" applyProtection="0"/>
    <xf numFmtId="0" fontId="48" fillId="28" borderId="0" applyNumberFormat="0" applyBorder="0" applyAlignment="0" applyProtection="0"/>
    <xf numFmtId="0" fontId="48" fillId="32" borderId="0" applyNumberFormat="0" applyBorder="0" applyAlignment="0" applyProtection="0"/>
  </cellStyleXfs>
  <cellXfs count="547">
    <xf numFmtId="0" fontId="0" fillId="0" borderId="0" xfId="0"/>
    <xf numFmtId="0" fontId="3" fillId="0" borderId="0" xfId="0" applyFont="1"/>
    <xf numFmtId="166" fontId="13" fillId="0" borderId="0" xfId="0" applyNumberFormat="1" applyFont="1"/>
    <xf numFmtId="3" fontId="13" fillId="0" borderId="0" xfId="0" applyNumberFormat="1" applyFo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 fontId="3" fillId="0" borderId="9" xfId="0" applyNumberFormat="1" applyFont="1" applyBorder="1" applyAlignment="1">
      <alignment horizontal="center" vertical="center"/>
    </xf>
    <xf numFmtId="2" fontId="3" fillId="0" borderId="0" xfId="0" applyNumberFormat="1" applyFont="1" applyAlignment="1">
      <alignment horizontal="center" vertical="center"/>
    </xf>
    <xf numFmtId="2" fontId="3" fillId="0" borderId="2" xfId="0" applyNumberFormat="1" applyFont="1" applyBorder="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9" xfId="0" quotePrefix="1" applyFont="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Alignment="1">
      <alignment horizontal="left" vertical="center"/>
    </xf>
    <xf numFmtId="3" fontId="3" fillId="0" borderId="0" xfId="1" applyNumberFormat="1" applyFont="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Border="1" applyAlignment="1">
      <alignment horizontal="center" vertical="center" wrapText="1"/>
    </xf>
    <xf numFmtId="0" fontId="4" fillId="0" borderId="0" xfId="1" applyFont="1" applyAlignment="1">
      <alignment horizontal="center" vertical="center" wrapText="1"/>
    </xf>
    <xf numFmtId="0" fontId="3" fillId="0" borderId="11" xfId="1" applyFont="1" applyBorder="1" applyAlignment="1">
      <alignment vertical="center" wrapText="1"/>
    </xf>
    <xf numFmtId="1" fontId="3" fillId="0" borderId="9" xfId="1" applyNumberFormat="1" applyFont="1" applyBorder="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left" vertical="center" indent="2"/>
    </xf>
    <xf numFmtId="3" fontId="3" fillId="0" borderId="0" xfId="1" applyNumberFormat="1" applyFont="1" applyAlignment="1">
      <alignment vertical="center"/>
    </xf>
    <xf numFmtId="0" fontId="3" fillId="0" borderId="9" xfId="1" applyFont="1" applyBorder="1" applyAlignment="1">
      <alignment vertical="center" wrapText="1"/>
    </xf>
    <xf numFmtId="3" fontId="3" fillId="0" borderId="0" xfId="1" applyNumberFormat="1" applyFont="1" applyAlignment="1">
      <alignment horizontal="center" vertical="center"/>
    </xf>
    <xf numFmtId="1" fontId="3" fillId="0" borderId="9" xfId="1" quotePrefix="1" applyNumberFormat="1" applyFont="1" applyBorder="1" applyAlignment="1">
      <alignment horizontal="center" vertical="center"/>
    </xf>
    <xf numFmtId="0" fontId="2" fillId="0" borderId="9" xfId="1" quotePrefix="1" applyBorder="1" applyAlignment="1">
      <alignment horizontal="center" vertical="center" wrapText="1"/>
    </xf>
    <xf numFmtId="0" fontId="5"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vertical="center" indent="4"/>
    </xf>
    <xf numFmtId="3" fontId="2" fillId="0" borderId="0" xfId="1" quotePrefix="1" applyNumberFormat="1"/>
    <xf numFmtId="3" fontId="3" fillId="0" borderId="2" xfId="1" applyNumberFormat="1" applyFont="1" applyBorder="1" applyAlignment="1">
      <alignment horizontal="center" vertical="center"/>
    </xf>
    <xf numFmtId="0" fontId="24" fillId="0" borderId="0" xfId="0" applyFont="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Border="1" applyAlignment="1">
      <alignment horizontal="center" vertical="center"/>
    </xf>
    <xf numFmtId="166" fontId="4" fillId="0" borderId="0" xfId="0" applyNumberFormat="1" applyFont="1" applyAlignment="1">
      <alignment horizontal="center" vertical="center" wrapText="1"/>
    </xf>
    <xf numFmtId="0" fontId="4" fillId="0" borderId="10" xfId="0" applyFont="1" applyBorder="1" applyAlignment="1">
      <alignment horizontal="center" vertical="center"/>
    </xf>
    <xf numFmtId="166" fontId="4" fillId="0" borderId="0" xfId="0" applyNumberFormat="1" applyFont="1" applyAlignment="1">
      <alignment vertical="center" wrapText="1"/>
    </xf>
    <xf numFmtId="3" fontId="3" fillId="0" borderId="0" xfId="0" applyNumberFormat="1" applyFont="1" applyAlignment="1">
      <alignment vertical="center"/>
    </xf>
    <xf numFmtId="3" fontId="3" fillId="0" borderId="0" xfId="0" applyNumberFormat="1" applyFont="1" applyAlignment="1">
      <alignment horizontal="right" vertical="center"/>
    </xf>
    <xf numFmtId="3" fontId="3" fillId="0" borderId="0" xfId="0" applyNumberFormat="1" applyFont="1" applyAlignment="1">
      <alignment vertical="center" wrapText="1"/>
    </xf>
    <xf numFmtId="164" fontId="3" fillId="0" borderId="0" xfId="0" applyNumberFormat="1" applyFont="1" applyAlignment="1">
      <alignment vertical="center"/>
    </xf>
    <xf numFmtId="168" fontId="3" fillId="0" borderId="0" xfId="0" applyNumberFormat="1" applyFont="1"/>
    <xf numFmtId="0" fontId="3" fillId="0" borderId="9" xfId="0" applyFont="1" applyBorder="1" applyAlignment="1">
      <alignment horizontal="center" vertical="center" wrapText="1"/>
    </xf>
    <xf numFmtId="1" fontId="3" fillId="0" borderId="9" xfId="0" quotePrefix="1" applyNumberFormat="1" applyFont="1" applyBorder="1" applyAlignment="1">
      <alignment horizontal="center" vertical="center"/>
    </xf>
    <xf numFmtId="3" fontId="3" fillId="0" borderId="2" xfId="0" applyNumberFormat="1" applyFont="1" applyBorder="1" applyAlignment="1">
      <alignment vertical="center"/>
    </xf>
    <xf numFmtId="0" fontId="16" fillId="0" borderId="0" xfId="0" applyFont="1" applyAlignment="1">
      <alignment horizontal="left" vertical="center" wrapText="1"/>
    </xf>
    <xf numFmtId="166" fontId="16" fillId="0" borderId="0" xfId="0" applyNumberFormat="1" applyFont="1" applyAlignment="1">
      <alignment horizontal="left" vertical="center"/>
    </xf>
    <xf numFmtId="166" fontId="16" fillId="0" borderId="0" xfId="0" applyNumberFormat="1" applyFont="1" applyAlignment="1">
      <alignment vertical="center" wrapText="1"/>
    </xf>
    <xf numFmtId="166" fontId="16" fillId="0" borderId="0" xfId="0" applyNumberFormat="1" applyFont="1" applyAlignment="1">
      <alignment vertical="center"/>
    </xf>
    <xf numFmtId="164" fontId="16" fillId="0" borderId="0" xfId="0" applyNumberFormat="1" applyFont="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xf numFmtId="1" fontId="2" fillId="0" borderId="0" xfId="0" quotePrefix="1" applyNumberFormat="1" applyFont="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19" fillId="0" borderId="0" xfId="0" applyFont="1"/>
    <xf numFmtId="0" fontId="4" fillId="0" borderId="1" xfId="0" applyFont="1" applyBorder="1"/>
    <xf numFmtId="0" fontId="27" fillId="0" borderId="0" xfId="0" applyFont="1" applyAlignment="1">
      <alignment horizontal="left"/>
    </xf>
    <xf numFmtId="0" fontId="27" fillId="0" borderId="0" xfId="0" applyFont="1"/>
    <xf numFmtId="0" fontId="4" fillId="0" borderId="0" xfId="0" applyFont="1"/>
    <xf numFmtId="0" fontId="21" fillId="0" borderId="0" xfId="0" applyFont="1"/>
    <xf numFmtId="164" fontId="2" fillId="0" borderId="0" xfId="0" applyNumberFormat="1" applyFont="1"/>
    <xf numFmtId="166" fontId="2" fillId="0" borderId="0" xfId="0" quotePrefix="1" applyNumberFormat="1" applyFont="1" applyAlignment="1">
      <alignment horizontal="center"/>
    </xf>
    <xf numFmtId="0" fontId="16" fillId="0" borderId="1" xfId="0" applyFont="1" applyBorder="1"/>
    <xf numFmtId="3" fontId="16" fillId="0" borderId="1" xfId="0" applyNumberFormat="1" applyFont="1" applyBorder="1"/>
    <xf numFmtId="0" fontId="22" fillId="0" borderId="0" xfId="0" applyFont="1" applyAlignment="1">
      <alignment horizontal="right"/>
    </xf>
    <xf numFmtId="164" fontId="2" fillId="0" borderId="1" xfId="0" applyNumberFormat="1" applyFont="1" applyBorder="1"/>
    <xf numFmtId="166" fontId="2" fillId="0" borderId="1" xfId="0" applyNumberFormat="1" applyFont="1" applyBorder="1"/>
    <xf numFmtId="3" fontId="2" fillId="0" borderId="0" xfId="1" applyNumberFormat="1" applyAlignment="1">
      <alignment vertical="center" wrapText="1"/>
    </xf>
    <xf numFmtId="1" fontId="2" fillId="0" borderId="0" xfId="1" applyNumberFormat="1" applyAlignment="1">
      <alignment horizontal="left" vertical="center" indent="2"/>
    </xf>
    <xf numFmtId="3" fontId="3" fillId="0" borderId="16" xfId="0" applyNumberFormat="1" applyFont="1" applyBorder="1" applyAlignment="1">
      <alignment vertical="center"/>
    </xf>
    <xf numFmtId="2" fontId="3" fillId="0" borderId="0" xfId="0" applyNumberFormat="1" applyFont="1" applyAlignment="1">
      <alignment horizontal="center"/>
    </xf>
    <xf numFmtId="0" fontId="9" fillId="0" borderId="0" xfId="0" applyFont="1" applyAlignment="1">
      <alignment vertical="center"/>
    </xf>
    <xf numFmtId="0" fontId="10" fillId="0" borderId="0" xfId="0" applyFont="1" applyAlignment="1">
      <alignment horizontal="left"/>
    </xf>
    <xf numFmtId="0" fontId="10" fillId="0" borderId="0" xfId="0" applyFont="1"/>
    <xf numFmtId="0" fontId="10" fillId="0" borderId="5" xfId="0" applyFont="1" applyBorder="1" applyAlignment="1">
      <alignment horizontal="center"/>
    </xf>
    <xf numFmtId="1" fontId="10" fillId="0" borderId="0" xfId="0" applyNumberFormat="1" applyFont="1" applyAlignment="1">
      <alignment horizontal="center"/>
    </xf>
    <xf numFmtId="164" fontId="10" fillId="0" borderId="0" xfId="0" applyNumberFormat="1" applyFont="1" applyAlignment="1">
      <alignment horizontal="center"/>
    </xf>
    <xf numFmtId="0" fontId="9" fillId="0" borderId="0" xfId="0" applyFont="1"/>
    <xf numFmtId="0" fontId="34" fillId="0" borderId="0" xfId="0" applyFont="1" applyAlignment="1">
      <alignment horizontal="left"/>
    </xf>
    <xf numFmtId="0" fontId="10" fillId="0" borderId="16" xfId="0" applyFont="1" applyBorder="1" applyAlignment="1">
      <alignment horizontal="center"/>
    </xf>
    <xf numFmtId="0" fontId="10" fillId="0" borderId="14" xfId="0" applyFont="1" applyBorder="1" applyAlignment="1">
      <alignment horizontal="left"/>
    </xf>
    <xf numFmtId="0" fontId="10" fillId="0" borderId="14" xfId="0" applyFont="1" applyBorder="1" applyAlignment="1">
      <alignment horizontal="center"/>
    </xf>
    <xf numFmtId="0" fontId="10" fillId="0" borderId="15" xfId="0" applyFont="1" applyBorder="1" applyAlignment="1">
      <alignment horizontal="center"/>
    </xf>
    <xf numFmtId="1" fontId="10" fillId="0" borderId="14" xfId="0" applyNumberFormat="1" applyFont="1" applyBorder="1" applyAlignment="1">
      <alignment horizontal="center"/>
    </xf>
    <xf numFmtId="0" fontId="9" fillId="0" borderId="0" xfId="0" applyFont="1" applyAlignment="1">
      <alignment horizontal="left"/>
    </xf>
    <xf numFmtId="0" fontId="9" fillId="0" borderId="16" xfId="0" applyFont="1" applyBorder="1" applyAlignment="1">
      <alignment horizontal="center"/>
    </xf>
    <xf numFmtId="1" fontId="9" fillId="0" borderId="0" xfId="0" applyNumberFormat="1" applyFont="1" applyAlignment="1">
      <alignment horizontal="center"/>
    </xf>
    <xf numFmtId="164" fontId="9" fillId="0" borderId="0" xfId="0" applyNumberFormat="1"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6" xfId="0" applyFont="1" applyBorder="1" applyAlignment="1">
      <alignment horizontal="center" vertical="center"/>
    </xf>
    <xf numFmtId="166" fontId="2" fillId="0" borderId="0" xfId="0" applyNumberFormat="1" applyFont="1" applyAlignment="1">
      <alignment horizontal="center" vertical="center"/>
    </xf>
    <xf numFmtId="0" fontId="0" fillId="0" borderId="0" xfId="0" applyAlignment="1">
      <alignment horizontal="center" vertical="center"/>
    </xf>
    <xf numFmtId="1" fontId="9" fillId="0" borderId="0" xfId="0" applyNumberFormat="1" applyFont="1" applyAlignment="1">
      <alignment horizontal="center" vertical="center"/>
    </xf>
    <xf numFmtId="3" fontId="2" fillId="0" borderId="0" xfId="0" applyNumberFormat="1" applyFont="1" applyAlignment="1">
      <alignment horizontal="left" vertical="center"/>
    </xf>
    <xf numFmtId="166"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xf>
    <xf numFmtId="0" fontId="33" fillId="0" borderId="16" xfId="0" applyFont="1" applyBorder="1" applyAlignment="1">
      <alignment horizontal="center" vertical="center"/>
    </xf>
    <xf numFmtId="3" fontId="0" fillId="0" borderId="0" xfId="0" applyNumberFormat="1" applyAlignment="1">
      <alignment horizontal="center" vertical="center"/>
    </xf>
    <xf numFmtId="166" fontId="0" fillId="0" borderId="0" xfId="0" applyNumberFormat="1" applyAlignment="1">
      <alignment horizontal="center" vertical="center"/>
    </xf>
    <xf numFmtId="164" fontId="9" fillId="0" borderId="0" xfId="0" applyNumberFormat="1" applyFont="1" applyAlignment="1">
      <alignment horizontal="left" vertical="center"/>
    </xf>
    <xf numFmtId="16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xf>
    <xf numFmtId="0" fontId="4" fillId="0" borderId="0" xfId="0" applyFont="1" applyAlignment="1">
      <alignment horizontal="left"/>
    </xf>
    <xf numFmtId="166" fontId="9" fillId="0" borderId="0" xfId="0" applyNumberFormat="1" applyFont="1" applyAlignment="1">
      <alignment horizontal="center"/>
    </xf>
    <xf numFmtId="0" fontId="13" fillId="0" borderId="0" xfId="0" applyFont="1"/>
    <xf numFmtId="1" fontId="16" fillId="0" borderId="0" xfId="0" applyNumberFormat="1" applyFont="1" applyAlignment="1">
      <alignment horizontal="left" wrapText="1"/>
    </xf>
    <xf numFmtId="164" fontId="16" fillId="0" borderId="0" xfId="0" applyNumberFormat="1" applyFont="1" applyAlignment="1">
      <alignment horizontal="left"/>
    </xf>
    <xf numFmtId="164" fontId="16" fillId="0" borderId="0" xfId="0" applyNumberFormat="1" applyFont="1" applyAlignment="1">
      <alignment horizontal="center"/>
    </xf>
    <xf numFmtId="3" fontId="4" fillId="0" borderId="0" xfId="0" applyNumberFormat="1" applyFont="1" applyAlignment="1">
      <alignment wrapText="1"/>
    </xf>
    <xf numFmtId="3" fontId="3" fillId="0" borderId="16" xfId="1" applyNumberFormat="1" applyFont="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Alignment="1">
      <alignment wrapText="1"/>
    </xf>
    <xf numFmtId="3" fontId="4" fillId="0" borderId="0" xfId="0" applyNumberFormat="1" applyFont="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22" fillId="0" borderId="0" xfId="0" applyNumberFormat="1" applyFont="1"/>
    <xf numFmtId="0" fontId="29" fillId="0" borderId="0" xfId="0" applyFont="1"/>
    <xf numFmtId="0" fontId="2" fillId="0" borderId="0" xfId="2" applyFont="1"/>
    <xf numFmtId="3" fontId="0" fillId="0" borderId="0" xfId="0" applyNumberFormat="1"/>
    <xf numFmtId="1" fontId="2" fillId="0" borderId="0" xfId="0" applyNumberFormat="1" applyFont="1"/>
    <xf numFmtId="169" fontId="2" fillId="0" borderId="0" xfId="0" applyNumberFormat="1" applyFont="1"/>
    <xf numFmtId="3" fontId="0" fillId="0" borderId="0" xfId="0" applyNumberFormat="1" applyAlignment="1">
      <alignment horizontal="center"/>
    </xf>
    <xf numFmtId="3" fontId="2" fillId="0" borderId="0" xfId="0" applyNumberFormat="1" applyFont="1" applyAlignment="1">
      <alignment horizontal="right"/>
    </xf>
    <xf numFmtId="3" fontId="30" fillId="0" borderId="0" xfId="0" applyNumberFormat="1" applyFont="1" applyAlignment="1">
      <alignment horizontal="right"/>
    </xf>
    <xf numFmtId="3" fontId="2" fillId="0" borderId="0" xfId="0" quotePrefix="1" applyNumberFormat="1" applyFont="1" applyAlignment="1">
      <alignment horizontal="center"/>
    </xf>
    <xf numFmtId="3" fontId="2" fillId="0" borderId="0" xfId="0" applyNumberFormat="1" applyFont="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4" fontId="7" fillId="0" borderId="0" xfId="0" applyNumberFormat="1" applyFont="1" applyAlignment="1">
      <alignment horizontal="center"/>
    </xf>
    <xf numFmtId="3" fontId="7" fillId="0" borderId="0" xfId="0" applyNumberFormat="1" applyFont="1" applyAlignment="1">
      <alignment horizontal="center"/>
    </xf>
    <xf numFmtId="166" fontId="7" fillId="0" borderId="0" xfId="0" applyNumberFormat="1" applyFont="1" applyAlignment="1">
      <alignment horizontal="center"/>
    </xf>
    <xf numFmtId="0" fontId="10" fillId="0" borderId="0" xfId="0" applyFont="1" applyAlignment="1">
      <alignment horizontal="left" vertical="center"/>
    </xf>
    <xf numFmtId="0" fontId="16" fillId="0" borderId="0" xfId="0" applyFont="1" applyAlignment="1">
      <alignment wrapText="1"/>
    </xf>
    <xf numFmtId="1" fontId="9" fillId="0" borderId="0" xfId="0" applyNumberFormat="1" applyFont="1" applyAlignment="1">
      <alignment horizontal="left" wrapText="1"/>
    </xf>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6" fontId="9" fillId="0" borderId="0" xfId="0" quotePrefix="1" applyNumberFormat="1" applyFont="1" applyAlignment="1">
      <alignment horizontal="center" vertical="center"/>
    </xf>
    <xf numFmtId="1" fontId="8" fillId="0" borderId="0" xfId="0" applyNumberFormat="1" applyFont="1" applyAlignment="1">
      <alignment horizontal="left" vertical="center" wrapText="1"/>
    </xf>
    <xf numFmtId="164" fontId="10" fillId="0" borderId="18" xfId="0" applyNumberFormat="1" applyFont="1" applyBorder="1" applyAlignment="1">
      <alignment horizontal="center"/>
    </xf>
    <xf numFmtId="164" fontId="10" fillId="0" borderId="13" xfId="0" applyNumberFormat="1" applyFont="1" applyBorder="1" applyAlignment="1">
      <alignment horizontal="center"/>
    </xf>
    <xf numFmtId="164" fontId="10" fillId="0" borderId="19" xfId="0" applyNumberFormat="1" applyFont="1" applyBorder="1" applyAlignment="1">
      <alignment horizontal="center"/>
    </xf>
    <xf numFmtId="164" fontId="9" fillId="0" borderId="13" xfId="0" applyNumberFormat="1" applyFont="1" applyBorder="1" applyAlignment="1">
      <alignment horizontal="center"/>
    </xf>
    <xf numFmtId="166" fontId="2" fillId="0" borderId="13"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0" fillId="0" borderId="13" xfId="0" applyNumberFormat="1" applyBorder="1" applyAlignment="1">
      <alignment horizontal="center" vertical="center"/>
    </xf>
    <xf numFmtId="166" fontId="2" fillId="0" borderId="17" xfId="0" applyNumberFormat="1" applyFont="1" applyBorder="1" applyAlignment="1">
      <alignment horizontal="center" vertical="center"/>
    </xf>
    <xf numFmtId="1" fontId="2" fillId="0" borderId="0" xfId="0" applyNumberFormat="1" applyFont="1" applyAlignment="1">
      <alignment horizontal="left" wrapText="1"/>
    </xf>
    <xf numFmtId="3" fontId="2" fillId="0" borderId="0" xfId="1" applyNumberFormat="1" applyAlignment="1">
      <alignment horizontal="center" vertical="center"/>
    </xf>
    <xf numFmtId="3" fontId="3" fillId="0" borderId="9" xfId="1" applyNumberFormat="1" applyFont="1" applyBorder="1" applyAlignment="1">
      <alignment horizontal="center" vertical="center"/>
    </xf>
    <xf numFmtId="2" fontId="3" fillId="0" borderId="9" xfId="0" applyNumberFormat="1" applyFont="1" applyBorder="1" applyAlignment="1">
      <alignment horizontal="center" vertical="center"/>
    </xf>
    <xf numFmtId="1" fontId="2" fillId="0" borderId="9" xfId="0" quotePrefix="1" applyNumberFormat="1" applyFont="1" applyBorder="1" applyAlignment="1">
      <alignment horizontal="center" vertical="center"/>
    </xf>
    <xf numFmtId="1" fontId="2" fillId="0" borderId="9" xfId="1" applyNumberFormat="1" applyBorder="1" applyAlignment="1">
      <alignment horizontal="center" vertical="center"/>
    </xf>
    <xf numFmtId="3" fontId="2" fillId="0" borderId="0" xfId="0" quotePrefix="1" applyNumberFormat="1" applyFont="1" applyAlignment="1">
      <alignment horizontal="right"/>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2" fontId="3" fillId="0" borderId="16" xfId="0" applyNumberFormat="1" applyFont="1" applyBorder="1" applyAlignment="1">
      <alignment horizontal="center"/>
    </xf>
    <xf numFmtId="0" fontId="39" fillId="0" borderId="0" xfId="0" applyFont="1" applyAlignment="1">
      <alignment horizontal="center" vertical="center"/>
    </xf>
    <xf numFmtId="0" fontId="40" fillId="0" borderId="0" xfId="0" applyFont="1" applyAlignment="1">
      <alignment horizontal="center" vertical="center"/>
    </xf>
    <xf numFmtId="166" fontId="2" fillId="0" borderId="1" xfId="0" quotePrefix="1" applyNumberFormat="1" applyFont="1" applyBorder="1" applyAlignment="1">
      <alignment horizontal="center"/>
    </xf>
    <xf numFmtId="1" fontId="5" fillId="0" borderId="0" xfId="0" applyNumberFormat="1" applyFont="1" applyAlignment="1">
      <alignment horizontal="left" wrapText="1"/>
    </xf>
    <xf numFmtId="1" fontId="5" fillId="0" borderId="0" xfId="0" applyNumberFormat="1" applyFont="1" applyAlignment="1">
      <alignment horizontal="left"/>
    </xf>
    <xf numFmtId="167" fontId="41" fillId="0" borderId="0" xfId="10" applyNumberFormat="1" applyFont="1" applyFill="1" applyBorder="1" applyAlignment="1" applyProtection="1">
      <alignment horizontal="center"/>
    </xf>
    <xf numFmtId="0" fontId="24" fillId="0" borderId="0" xfId="0" applyFont="1" applyAlignment="1">
      <alignment horizontal="left"/>
    </xf>
    <xf numFmtId="1" fontId="2" fillId="0" borderId="0" xfId="1" applyNumberFormat="1" applyAlignment="1">
      <alignment horizontal="center" vertical="center"/>
    </xf>
    <xf numFmtId="0" fontId="2" fillId="0" borderId="0" xfId="0" applyFont="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6" fillId="0" borderId="0" xfId="0" applyFont="1"/>
    <xf numFmtId="165" fontId="2" fillId="0" borderId="0" xfId="0" applyNumberFormat="1" applyFont="1"/>
    <xf numFmtId="167" fontId="7" fillId="0" borderId="0" xfId="7" applyNumberFormat="1" applyFont="1" applyAlignment="1">
      <alignment horizontal="center"/>
    </xf>
    <xf numFmtId="167" fontId="36" fillId="0" borderId="0" xfId="7" applyNumberFormat="1" applyFont="1" applyAlignment="1">
      <alignment horizontal="center"/>
    </xf>
    <xf numFmtId="164" fontId="36" fillId="0" borderId="0" xfId="2" applyNumberFormat="1" applyFont="1" applyAlignment="1">
      <alignment horizontal="center"/>
    </xf>
    <xf numFmtId="0" fontId="2" fillId="0" borderId="0" xfId="0" quotePrefix="1" applyFont="1"/>
    <xf numFmtId="1" fontId="2" fillId="0" borderId="9" xfId="0" applyNumberFormat="1" applyFont="1" applyBorder="1"/>
    <xf numFmtId="1" fontId="7" fillId="0" borderId="0" xfId="0" applyNumberFormat="1" applyFont="1"/>
    <xf numFmtId="0" fontId="13" fillId="0" borderId="0" xfId="0" applyFont="1" applyAlignment="1">
      <alignment vertical="center"/>
    </xf>
    <xf numFmtId="164" fontId="13" fillId="0" borderId="0" xfId="0" applyNumberFormat="1" applyFont="1"/>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xf numFmtId="0" fontId="2" fillId="0" borderId="0" xfId="0" applyFont="1" applyAlignment="1">
      <alignment wrapText="1"/>
    </xf>
    <xf numFmtId="0" fontId="43" fillId="0" borderId="0" xfId="0" applyFont="1"/>
    <xf numFmtId="0" fontId="43" fillId="0" borderId="0" xfId="0" applyFont="1" applyAlignment="1">
      <alignment horizontal="center"/>
    </xf>
    <xf numFmtId="1" fontId="4" fillId="0" borderId="21" xfId="0" applyNumberFormat="1" applyFont="1" applyBorder="1"/>
    <xf numFmtId="0" fontId="2"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Border="1" applyAlignment="1">
      <alignment horizontal="center" vertical="center"/>
    </xf>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2" fillId="0" borderId="0" xfId="0" applyFont="1" applyAlignment="1">
      <alignment horizontal="right" vertical="center" wrapText="1"/>
    </xf>
    <xf numFmtId="3" fontId="2" fillId="0" borderId="16" xfId="0" applyNumberFormat="1" applyFont="1" applyBorder="1" applyAlignment="1">
      <alignment horizontal="right" vertical="center"/>
    </xf>
    <xf numFmtId="1" fontId="2" fillId="0" borderId="0" xfId="0" applyNumberFormat="1" applyFont="1" applyAlignment="1">
      <alignment vertical="center"/>
    </xf>
    <xf numFmtId="3" fontId="2" fillId="0" borderId="16" xfId="1" applyNumberFormat="1" applyBorder="1" applyAlignment="1">
      <alignment horizontal="right" vertical="center"/>
    </xf>
    <xf numFmtId="3" fontId="2" fillId="0" borderId="0" xfId="1" applyNumberFormat="1" applyAlignment="1">
      <alignment horizontal="right" vertical="center"/>
    </xf>
    <xf numFmtId="0" fontId="2" fillId="0" borderId="0" xfId="0" applyFont="1" applyAlignment="1">
      <alignment horizontal="left" vertical="center" wrapText="1"/>
    </xf>
    <xf numFmtId="3" fontId="2" fillId="0" borderId="0" xfId="0" applyNumberFormat="1" applyFont="1" applyAlignment="1">
      <alignment horizontal="left" wrapText="1"/>
    </xf>
    <xf numFmtId="0" fontId="29" fillId="0" borderId="20" xfId="0" applyFont="1" applyBorder="1"/>
    <xf numFmtId="166" fontId="29"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Alignment="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169" fontId="2" fillId="0" borderId="20" xfId="0" applyNumberFormat="1" applyFont="1" applyBorder="1"/>
    <xf numFmtId="37" fontId="17" fillId="0" borderId="0" xfId="0" applyNumberFormat="1" applyFont="1" applyAlignment="1">
      <alignment horizontal="right" vertical="center"/>
    </xf>
    <xf numFmtId="37" fontId="17" fillId="0" borderId="1" xfId="0" applyNumberFormat="1" applyFont="1" applyBorder="1" applyAlignment="1">
      <alignment horizontal="right" vertical="center"/>
    </xf>
    <xf numFmtId="0" fontId="2" fillId="0" borderId="0" xfId="1" quotePrefix="1" applyAlignment="1">
      <alignment horizontal="center" vertical="center" wrapText="1"/>
    </xf>
    <xf numFmtId="0" fontId="2" fillId="0" borderId="0" xfId="0" applyFont="1" applyAlignment="1">
      <alignment horizontal="left" wrapText="1"/>
    </xf>
    <xf numFmtId="3" fontId="3" fillId="0" borderId="20" xfId="1" applyNumberFormat="1" applyFont="1" applyBorder="1" applyAlignment="1">
      <alignment horizontal="center" vertical="center"/>
    </xf>
    <xf numFmtId="3" fontId="10" fillId="0" borderId="0" xfId="0" applyNumberFormat="1" applyFont="1" applyAlignment="1">
      <alignment horizontal="center" wrapText="1"/>
    </xf>
    <xf numFmtId="0" fontId="9" fillId="0" borderId="0" xfId="0" applyFont="1" applyAlignment="1">
      <alignment horizontal="center" wrapText="1"/>
    </xf>
    <xf numFmtId="0" fontId="37" fillId="0" borderId="0" xfId="0" applyFont="1" applyAlignment="1">
      <alignment horizontal="left" vertical="center" wrapText="1"/>
    </xf>
    <xf numFmtId="166" fontId="2" fillId="0" borderId="0" xfId="0" applyNumberFormat="1" applyFont="1" applyAlignment="1">
      <alignment horizontal="center" wrapText="1"/>
    </xf>
    <xf numFmtId="167" fontId="44" fillId="0" borderId="21" xfId="10" applyNumberFormat="1" applyFont="1" applyBorder="1" applyAlignment="1">
      <alignment horizontal="center"/>
    </xf>
    <xf numFmtId="1" fontId="49" fillId="0" borderId="0" xfId="0" applyNumberFormat="1" applyFont="1" applyAlignment="1">
      <alignment horizontal="center" vertical="center"/>
    </xf>
    <xf numFmtId="0" fontId="48" fillId="0" borderId="0" xfId="0" applyFont="1"/>
    <xf numFmtId="1" fontId="49" fillId="0" borderId="0" xfId="0" quotePrefix="1" applyNumberFormat="1" applyFont="1" applyAlignment="1">
      <alignment horizontal="center" vertical="center"/>
    </xf>
    <xf numFmtId="1" fontId="49" fillId="0" borderId="0" xfId="1" applyNumberFormat="1" applyFont="1" applyAlignment="1">
      <alignment horizontal="center" vertical="center"/>
    </xf>
    <xf numFmtId="0" fontId="49" fillId="0" borderId="0" xfId="0" applyFont="1"/>
    <xf numFmtId="167" fontId="36" fillId="0" borderId="22" xfId="7" applyNumberFormat="1" applyFont="1" applyBorder="1" applyAlignment="1">
      <alignment horizontal="center"/>
    </xf>
    <xf numFmtId="167" fontId="44" fillId="0" borderId="23" xfId="1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alignment vertical="center" wrapText="1"/>
    </xf>
    <xf numFmtId="3" fontId="2" fillId="0" borderId="20" xfId="1" applyNumberFormat="1" applyBorder="1" applyAlignment="1">
      <alignment vertical="center"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Alignment="1">
      <alignment horizontal="right" vertical="center"/>
    </xf>
    <xf numFmtId="169" fontId="2" fillId="0" borderId="0" xfId="1" applyNumberFormat="1" applyAlignment="1">
      <alignment horizontal="right" vertical="center" wrapText="1"/>
    </xf>
    <xf numFmtId="169" fontId="2" fillId="0" borderId="9" xfId="1" applyNumberFormat="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0" fontId="9" fillId="0" borderId="20" xfId="0" applyFont="1" applyBorder="1" applyAlignment="1">
      <alignment horizontal="center" vertical="center"/>
    </xf>
    <xf numFmtId="166" fontId="29" fillId="0" borderId="0" xfId="0" applyNumberFormat="1" applyFont="1"/>
    <xf numFmtId="0" fontId="2" fillId="0" borderId="9" xfId="0" applyFont="1" applyBorder="1"/>
    <xf numFmtId="164" fontId="2" fillId="0" borderId="9" xfId="0" applyNumberFormat="1" applyFont="1" applyBorder="1"/>
    <xf numFmtId="3" fontId="2" fillId="0" borderId="9" xfId="0" applyNumberFormat="1" applyFont="1" applyBorder="1"/>
    <xf numFmtId="166" fontId="2" fillId="0" borderId="9" xfId="0" applyNumberFormat="1" applyFont="1" applyBorder="1"/>
    <xf numFmtId="9" fontId="2" fillId="0" borderId="0" xfId="0" applyNumberFormat="1" applyFont="1" applyAlignment="1">
      <alignment horizontal="center"/>
    </xf>
    <xf numFmtId="3" fontId="4" fillId="0" borderId="0" xfId="0" applyNumberFormat="1" applyFont="1" applyAlignment="1">
      <alignment horizontal="left" wrapText="1"/>
    </xf>
    <xf numFmtId="166" fontId="2" fillId="0" borderId="13" xfId="0" applyNumberFormat="1" applyFont="1" applyBorder="1"/>
    <xf numFmtId="0" fontId="15" fillId="0" borderId="0" xfId="0" applyFont="1" applyAlignment="1">
      <alignment horizontal="left" wrapText="1"/>
    </xf>
    <xf numFmtId="164" fontId="15" fillId="0" borderId="0" xfId="0" applyNumberFormat="1" applyFont="1" applyAlignment="1">
      <alignment horizontal="left" wrapText="1"/>
    </xf>
    <xf numFmtId="9" fontId="2" fillId="0" borderId="0" xfId="0" applyNumberFormat="1" applyFont="1"/>
    <xf numFmtId="0" fontId="2" fillId="0" borderId="1" xfId="0" applyFont="1" applyBorder="1"/>
    <xf numFmtId="9" fontId="2" fillId="0" borderId="1" xfId="0" applyNumberFormat="1" applyFont="1" applyBorder="1"/>
    <xf numFmtId="0" fontId="15" fillId="0" borderId="0" xfId="1" applyFont="1" applyAlignment="1">
      <alignment horizontal="left" vertical="top" wrapText="1"/>
    </xf>
    <xf numFmtId="0" fontId="16" fillId="0" borderId="0" xfId="1" applyFont="1" applyAlignment="1">
      <alignment wrapText="1"/>
    </xf>
    <xf numFmtId="0" fontId="2" fillId="0" borderId="0" xfId="1" applyAlignment="1">
      <alignment vertical="center" wrapText="1"/>
    </xf>
    <xf numFmtId="169" fontId="2" fillId="0" borderId="1" xfId="0" applyNumberFormat="1" applyFont="1" applyBorder="1"/>
    <xf numFmtId="0" fontId="2" fillId="0" borderId="0" xfId="0" applyFont="1" applyAlignment="1">
      <alignment horizontal="left" vertical="top"/>
    </xf>
    <xf numFmtId="3" fontId="5" fillId="0" borderId="0" xfId="0" applyNumberFormat="1" applyFont="1" applyAlignment="1">
      <alignment horizontal="left"/>
    </xf>
    <xf numFmtId="3" fontId="50" fillId="0" borderId="0" xfId="0" applyNumberFormat="1" applyFont="1" applyAlignment="1">
      <alignment horizontal="right" wrapText="1"/>
    </xf>
    <xf numFmtId="2" fontId="3" fillId="0" borderId="20" xfId="0" applyNumberFormat="1" applyFont="1" applyBorder="1" applyAlignment="1">
      <alignment horizontal="center" vertical="center"/>
    </xf>
    <xf numFmtId="0" fontId="64" fillId="0" borderId="0" xfId="0" applyFont="1"/>
    <xf numFmtId="166" fontId="2" fillId="0" borderId="3" xfId="0" applyNumberFormat="1" applyFont="1" applyBorder="1"/>
    <xf numFmtId="166" fontId="7" fillId="0" borderId="0" xfId="0" applyNumberFormat="1" applyFont="1" applyAlignment="1">
      <alignment horizontal="center" vertical="center"/>
    </xf>
    <xf numFmtId="164" fontId="64" fillId="0" borderId="0" xfId="0" applyNumberFormat="1" applyFont="1"/>
    <xf numFmtId="9" fontId="0" fillId="0" borderId="0" xfId="0" applyNumberFormat="1"/>
    <xf numFmtId="0" fontId="65" fillId="0" borderId="0" xfId="0" applyFont="1"/>
    <xf numFmtId="0" fontId="9" fillId="0" borderId="9" xfId="0" applyFont="1" applyBorder="1" applyAlignment="1">
      <alignment horizontal="left" wrapText="1"/>
    </xf>
    <xf numFmtId="0" fontId="66" fillId="0" borderId="0" xfId="0" applyFont="1"/>
    <xf numFmtId="167" fontId="2" fillId="0" borderId="0" xfId="7" applyNumberFormat="1" applyFont="1" applyAlignment="1">
      <alignment horizontal="center"/>
    </xf>
    <xf numFmtId="9" fontId="4" fillId="0" borderId="0" xfId="0" applyNumberFormat="1" applyFont="1"/>
    <xf numFmtId="167" fontId="4" fillId="0" borderId="20" xfId="7" applyNumberFormat="1" applyFont="1" applyBorder="1" applyAlignment="1">
      <alignment horizontal="right" vertical="center"/>
    </xf>
    <xf numFmtId="3" fontId="4" fillId="0" borderId="0" xfId="0" applyNumberFormat="1" applyFont="1" applyAlignment="1">
      <alignment horizontal="right" vertical="center"/>
    </xf>
    <xf numFmtId="167" fontId="4" fillId="0" borderId="9" xfId="7" applyNumberFormat="1" applyFont="1" applyBorder="1" applyAlignment="1">
      <alignment horizontal="right" vertical="center"/>
    </xf>
    <xf numFmtId="167" fontId="2" fillId="0" borderId="20" xfId="7" applyNumberFormat="1" applyFont="1" applyBorder="1" applyAlignment="1">
      <alignment horizontal="right" vertical="center"/>
    </xf>
    <xf numFmtId="167" fontId="2" fillId="0" borderId="0" xfId="7" applyNumberFormat="1" applyFont="1" applyBorder="1" applyAlignment="1">
      <alignment horizontal="right" vertical="center"/>
    </xf>
    <xf numFmtId="1" fontId="4" fillId="0" borderId="20" xfId="0" applyNumberFormat="1" applyFont="1" applyBorder="1" applyAlignment="1">
      <alignment horizontal="right"/>
    </xf>
    <xf numFmtId="164" fontId="4" fillId="0" borderId="0" xfId="4" applyNumberFormat="1" applyFont="1" applyAlignment="1">
      <alignment horizontal="right"/>
    </xf>
    <xf numFmtId="0" fontId="4" fillId="0" borderId="0" xfId="4" applyFont="1" applyAlignment="1">
      <alignment horizontal="right"/>
    </xf>
    <xf numFmtId="1" fontId="36" fillId="0" borderId="0" xfId="2" applyNumberFormat="1" applyFont="1" applyAlignment="1">
      <alignment horizontal="right" vertical="center"/>
    </xf>
    <xf numFmtId="167" fontId="4" fillId="0" borderId="20" xfId="4" applyNumberFormat="1" applyFont="1" applyBorder="1" applyAlignment="1">
      <alignment horizontal="right"/>
    </xf>
    <xf numFmtId="164" fontId="38" fillId="0" borderId="0" xfId="2" applyNumberFormat="1" applyFont="1" applyAlignment="1">
      <alignment horizontal="right"/>
    </xf>
    <xf numFmtId="167" fontId="38" fillId="0" borderId="9" xfId="7" applyNumberFormat="1" applyFont="1" applyBorder="1" applyAlignment="1">
      <alignment horizontal="right"/>
    </xf>
    <xf numFmtId="167" fontId="2" fillId="0" borderId="20" xfId="7" applyNumberFormat="1" applyFont="1" applyBorder="1" applyAlignment="1">
      <alignment horizontal="right"/>
    </xf>
    <xf numFmtId="164" fontId="36" fillId="0" borderId="0" xfId="2" applyNumberFormat="1" applyFont="1" applyAlignment="1">
      <alignment horizontal="right"/>
    </xf>
    <xf numFmtId="167" fontId="36" fillId="0" borderId="9" xfId="7" applyNumberFormat="1" applyFont="1" applyBorder="1" applyAlignment="1">
      <alignment horizontal="right"/>
    </xf>
    <xf numFmtId="1" fontId="8" fillId="0" borderId="0" xfId="0" applyNumberFormat="1" applyFont="1"/>
    <xf numFmtId="3" fontId="5" fillId="0" borderId="0" xfId="0" applyNumberFormat="1" applyFont="1" applyAlignment="1">
      <alignment vertical="top"/>
    </xf>
    <xf numFmtId="0" fontId="69" fillId="0" borderId="0" xfId="0" applyFont="1"/>
    <xf numFmtId="167" fontId="49" fillId="0" borderId="0" xfId="10" applyNumberFormat="1" applyFont="1"/>
    <xf numFmtId="37" fontId="17" fillId="0" borderId="10" xfId="0" applyNumberFormat="1" applyFont="1" applyBorder="1" applyAlignment="1">
      <alignment horizontal="right" vertical="center"/>
    </xf>
    <xf numFmtId="1" fontId="2" fillId="0" borderId="20" xfId="0" applyNumberFormat="1" applyFont="1" applyBorder="1" applyAlignment="1">
      <alignment horizontal="right" vertical="center"/>
    </xf>
    <xf numFmtId="1" fontId="2" fillId="0" borderId="20" xfId="0" applyNumberFormat="1" applyFont="1" applyBorder="1" applyAlignment="1">
      <alignment horizontal="right"/>
    </xf>
    <xf numFmtId="164" fontId="2" fillId="0" borderId="0" xfId="0" applyNumberFormat="1" applyFont="1" applyAlignment="1">
      <alignment horizontal="right"/>
    </xf>
    <xf numFmtId="167" fontId="2" fillId="0" borderId="0" xfId="7" applyNumberFormat="1" applyFont="1" applyBorder="1" applyAlignment="1">
      <alignment horizontal="right"/>
    </xf>
    <xf numFmtId="167" fontId="4" fillId="0" borderId="0" xfId="7" applyNumberFormat="1" applyFont="1" applyAlignment="1">
      <alignment horizontal="right" vertical="center"/>
    </xf>
    <xf numFmtId="167" fontId="38" fillId="0" borderId="0" xfId="7" applyNumberFormat="1" applyFont="1" applyBorder="1" applyAlignment="1">
      <alignment horizontal="right"/>
    </xf>
    <xf numFmtId="167" fontId="38" fillId="0" borderId="0" xfId="7" applyNumberFormat="1" applyFont="1" applyAlignment="1">
      <alignment horizontal="right"/>
    </xf>
    <xf numFmtId="167" fontId="36" fillId="0" borderId="0" xfId="7" applyNumberFormat="1" applyFont="1" applyAlignment="1">
      <alignment horizontal="right"/>
    </xf>
    <xf numFmtId="1" fontId="6" fillId="0" borderId="1" xfId="0" applyNumberFormat="1" applyFont="1" applyBorder="1"/>
    <xf numFmtId="164" fontId="2" fillId="0" borderId="20" xfId="0" quotePrefix="1" applyNumberFormat="1" applyFont="1" applyBorder="1"/>
    <xf numFmtId="3" fontId="2" fillId="0" borderId="9" xfId="0" applyNumberFormat="1" applyFont="1" applyBorder="1" applyAlignment="1">
      <alignment horizontal="center"/>
    </xf>
    <xf numFmtId="3" fontId="2" fillId="0" borderId="20" xfId="0" applyNumberFormat="1" applyFont="1" applyBorder="1" applyAlignment="1">
      <alignment horizontal="center"/>
    </xf>
    <xf numFmtId="166" fontId="2" fillId="0" borderId="0" xfId="0" applyNumberFormat="1" applyFont="1" applyAlignment="1">
      <alignment horizontal="center"/>
    </xf>
    <xf numFmtId="3" fontId="2" fillId="0" borderId="0" xfId="0" applyNumberFormat="1" applyFont="1" applyAlignment="1">
      <alignment horizontal="center"/>
    </xf>
    <xf numFmtId="1" fontId="4" fillId="0" borderId="1" xfId="0" applyNumberFormat="1" applyFont="1" applyBorder="1"/>
    <xf numFmtId="1" fontId="2" fillId="0" borderId="3" xfId="0" applyNumberFormat="1" applyFont="1" applyBorder="1"/>
    <xf numFmtId="164" fontId="2" fillId="0" borderId="1" xfId="0" applyNumberFormat="1" applyFont="1" applyBorder="1" applyAlignment="1">
      <alignment horizontal="center"/>
    </xf>
    <xf numFmtId="3" fontId="2" fillId="0" borderId="10" xfId="0" applyNumberFormat="1" applyFont="1" applyBorder="1" applyAlignment="1">
      <alignment horizontal="center"/>
    </xf>
    <xf numFmtId="166" fontId="2" fillId="0" borderId="1" xfId="0" applyNumberFormat="1" applyFont="1" applyBorder="1" applyAlignment="1">
      <alignment horizontal="center"/>
    </xf>
    <xf numFmtId="3" fontId="2" fillId="0" borderId="1" xfId="0" applyNumberFormat="1" applyFont="1" applyBorder="1" applyAlignment="1">
      <alignment horizontal="center"/>
    </xf>
    <xf numFmtId="3" fontId="2" fillId="0" borderId="3" xfId="0" applyNumberFormat="1" applyFont="1" applyBorder="1" applyAlignment="1">
      <alignment horizontal="center"/>
    </xf>
    <xf numFmtId="1" fontId="4" fillId="0" borderId="0" xfId="0" applyNumberFormat="1" applyFont="1"/>
    <xf numFmtId="165" fontId="2" fillId="0" borderId="0" xfId="0" quotePrefix="1" applyNumberFormat="1" applyFont="1" applyAlignment="1">
      <alignment horizontal="center"/>
    </xf>
    <xf numFmtId="167" fontId="2" fillId="0" borderId="9" xfId="7" applyNumberFormat="1" applyFont="1" applyBorder="1" applyAlignment="1">
      <alignment horizontal="right" vertical="center"/>
    </xf>
    <xf numFmtId="164" fontId="2" fillId="0" borderId="0" xfId="0" applyNumberFormat="1" applyFont="1" applyAlignment="1">
      <alignment horizontal="right" vertical="center"/>
    </xf>
    <xf numFmtId="167" fontId="2" fillId="0" borderId="0" xfId="7" applyNumberFormat="1" applyFont="1" applyAlignment="1">
      <alignment horizontal="right" vertical="center"/>
    </xf>
    <xf numFmtId="167" fontId="2" fillId="0" borderId="9" xfId="7" applyNumberFormat="1" applyFont="1" applyBorder="1" applyAlignment="1">
      <alignment horizontal="right"/>
    </xf>
    <xf numFmtId="167" fontId="36" fillId="0" borderId="20" xfId="7" applyNumberFormat="1" applyFont="1" applyBorder="1" applyAlignment="1">
      <alignment horizontal="right"/>
    </xf>
    <xf numFmtId="165" fontId="2" fillId="0" borderId="20" xfId="0" quotePrefix="1" applyNumberFormat="1" applyFont="1" applyBorder="1" applyAlignment="1">
      <alignment horizontal="center"/>
    </xf>
    <xf numFmtId="3" fontId="2" fillId="0" borderId="20" xfId="1" applyNumberFormat="1" applyBorder="1" applyAlignment="1">
      <alignment horizontal="right" vertical="center"/>
    </xf>
    <xf numFmtId="3" fontId="2" fillId="0" borderId="20" xfId="0" applyNumberFormat="1" applyFont="1" applyBorder="1" applyAlignment="1">
      <alignment vertical="center" wrapText="1"/>
    </xf>
    <xf numFmtId="0" fontId="2" fillId="0" borderId="0" xfId="0" quotePrefix="1" applyFont="1" applyAlignment="1">
      <alignment horizontal="right"/>
    </xf>
    <xf numFmtId="166" fontId="4" fillId="0" borderId="1" xfId="0" applyNumberFormat="1" applyFont="1" applyBorder="1" applyAlignment="1">
      <alignment horizontal="center"/>
    </xf>
    <xf numFmtId="1" fontId="44" fillId="0" borderId="21" xfId="2" applyNumberFormat="1" applyFont="1" applyBorder="1" applyAlignment="1">
      <alignment horizontal="center"/>
    </xf>
    <xf numFmtId="9" fontId="71" fillId="0" borderId="0" xfId="11" applyFont="1"/>
    <xf numFmtId="0" fontId="42" fillId="0" borderId="0" xfId="0" applyFont="1"/>
    <xf numFmtId="0" fontId="72" fillId="0" borderId="0" xfId="0" applyFont="1"/>
    <xf numFmtId="0" fontId="3" fillId="0" borderId="0" xfId="0" quotePrefix="1" applyFont="1" applyAlignment="1">
      <alignment horizontal="center" vertical="center" wrapText="1"/>
    </xf>
    <xf numFmtId="3" fontId="2" fillId="0" borderId="13" xfId="1" applyNumberFormat="1" applyBorder="1" applyAlignment="1">
      <alignment horizontal="right" vertical="center"/>
    </xf>
    <xf numFmtId="165" fontId="2" fillId="0" borderId="9" xfId="0" quotePrefix="1" applyNumberFormat="1" applyFont="1" applyBorder="1" applyAlignment="1">
      <alignment horizontal="center"/>
    </xf>
    <xf numFmtId="170" fontId="2" fillId="0" borderId="18" xfId="10" applyNumberFormat="1" applyFont="1" applyBorder="1"/>
    <xf numFmtId="0" fontId="2" fillId="0" borderId="9" xfId="0" quotePrefix="1" applyFont="1" applyBorder="1" applyAlignment="1">
      <alignment horizontal="center"/>
    </xf>
    <xf numFmtId="0" fontId="9" fillId="0" borderId="20" xfId="0" applyFont="1" applyBorder="1" applyAlignment="1">
      <alignment horizontal="center"/>
    </xf>
    <xf numFmtId="0" fontId="7" fillId="0" borderId="0" xfId="0" applyFont="1" applyAlignment="1">
      <alignment horizontal="center" wrapText="1"/>
    </xf>
    <xf numFmtId="37" fontId="17" fillId="0" borderId="3" xfId="0" applyNumberFormat="1" applyFont="1" applyBorder="1" applyAlignment="1">
      <alignment horizontal="right" vertical="center"/>
    </xf>
    <xf numFmtId="3" fontId="4" fillId="0" borderId="5" xfId="0" applyNumberFormat="1" applyFont="1" applyBorder="1"/>
    <xf numFmtId="3" fontId="9" fillId="0" borderId="20" xfId="0" applyNumberFormat="1" applyFont="1" applyBorder="1" applyAlignment="1">
      <alignment horizontal="right" wrapText="1"/>
    </xf>
    <xf numFmtId="37" fontId="17" fillId="0" borderId="20" xfId="0" applyNumberFormat="1" applyFont="1" applyBorder="1" applyAlignment="1">
      <alignment horizontal="right" vertical="center"/>
    </xf>
    <xf numFmtId="3" fontId="0" fillId="0" borderId="20" xfId="0" applyNumberFormat="1" applyBorder="1"/>
    <xf numFmtId="3" fontId="17" fillId="0" borderId="20" xfId="8" applyNumberFormat="1" applyFont="1" applyBorder="1"/>
    <xf numFmtId="166" fontId="29" fillId="0" borderId="13" xfId="0" applyNumberFormat="1" applyFont="1" applyBorder="1"/>
    <xf numFmtId="0" fontId="2" fillId="0" borderId="13" xfId="0" applyFont="1" applyBorder="1"/>
    <xf numFmtId="166" fontId="2" fillId="0" borderId="17" xfId="0" applyNumberFormat="1" applyFont="1" applyBorder="1"/>
    <xf numFmtId="166" fontId="4" fillId="0" borderId="0" xfId="0" applyNumberFormat="1" applyFont="1"/>
    <xf numFmtId="3" fontId="3" fillId="0" borderId="20" xfId="0" applyNumberFormat="1" applyFont="1" applyBorder="1" applyAlignment="1">
      <alignment vertical="center"/>
    </xf>
    <xf numFmtId="0" fontId="9" fillId="0" borderId="0" xfId="0" applyFont="1" applyAlignment="1">
      <alignment horizontal="left" wrapText="1"/>
    </xf>
    <xf numFmtId="165" fontId="2" fillId="0" borderId="21" xfId="0" quotePrefix="1" applyNumberFormat="1" applyFont="1" applyBorder="1" applyAlignment="1">
      <alignment horizontal="center"/>
    </xf>
    <xf numFmtId="165" fontId="2" fillId="0" borderId="33" xfId="0" quotePrefix="1" applyNumberFormat="1" applyFont="1" applyBorder="1" applyAlignment="1">
      <alignment horizontal="center"/>
    </xf>
    <xf numFmtId="165" fontId="2" fillId="0" borderId="34" xfId="0" quotePrefix="1" applyNumberFormat="1" applyFont="1" applyBorder="1" applyAlignment="1">
      <alignment horizontal="center"/>
    </xf>
    <xf numFmtId="0" fontId="30" fillId="0" borderId="12" xfId="0" applyFont="1" applyBorder="1" applyAlignment="1">
      <alignment horizontal="left" wrapText="1"/>
    </xf>
    <xf numFmtId="0" fontId="30" fillId="0" borderId="12" xfId="0" applyFont="1" applyBorder="1" applyAlignment="1">
      <alignment horizontal="center" wrapText="1"/>
    </xf>
    <xf numFmtId="3" fontId="30" fillId="33" borderId="12" xfId="0" applyNumberFormat="1" applyFont="1" applyFill="1" applyBorder="1" applyAlignment="1">
      <alignment horizontal="right" wrapText="1"/>
    </xf>
    <xf numFmtId="0" fontId="37" fillId="34" borderId="12" xfId="0" applyFont="1" applyFill="1" applyBorder="1" applyAlignment="1">
      <alignment horizontal="center" vertical="center" wrapText="1"/>
    </xf>
    <xf numFmtId="3" fontId="37" fillId="33" borderId="12" xfId="0" applyNumberFormat="1" applyFont="1" applyFill="1" applyBorder="1" applyAlignment="1">
      <alignment horizontal="center" vertical="center" wrapText="1"/>
    </xf>
    <xf numFmtId="0" fontId="9" fillId="0" borderId="12" xfId="0" applyFont="1" applyBorder="1" applyAlignment="1">
      <alignment horizontal="left" wrapText="1"/>
    </xf>
    <xf numFmtId="169" fontId="30" fillId="33" borderId="12" xfId="11" applyNumberFormat="1" applyFont="1" applyFill="1" applyBorder="1" applyAlignment="1">
      <alignment horizontal="right" wrapText="1"/>
    </xf>
    <xf numFmtId="0" fontId="30" fillId="0" borderId="0" xfId="0" applyFont="1" applyAlignment="1">
      <alignment horizontal="center" wrapText="1"/>
    </xf>
    <xf numFmtId="0" fontId="30" fillId="0" borderId="0" xfId="0" applyFont="1" applyAlignment="1">
      <alignment horizontal="left" wrapText="1"/>
    </xf>
    <xf numFmtId="3" fontId="9" fillId="35" borderId="12" xfId="0" applyNumberFormat="1" applyFont="1" applyFill="1" applyBorder="1" applyAlignment="1">
      <alignment horizontal="right" wrapText="1"/>
    </xf>
    <xf numFmtId="169" fontId="37" fillId="36" borderId="12" xfId="11" applyNumberFormat="1" applyFont="1" applyFill="1" applyBorder="1" applyAlignment="1">
      <alignment horizontal="right" wrapText="1"/>
    </xf>
    <xf numFmtId="3" fontId="37" fillId="36" borderId="12" xfId="0" applyNumberFormat="1" applyFont="1" applyFill="1" applyBorder="1" applyAlignment="1">
      <alignment horizontal="right" wrapText="1"/>
    </xf>
    <xf numFmtId="0" fontId="73" fillId="0" borderId="0" xfId="0" applyFont="1"/>
    <xf numFmtId="1" fontId="6" fillId="0" borderId="0" xfId="0" applyNumberFormat="1" applyFont="1"/>
    <xf numFmtId="0" fontId="11" fillId="0" borderId="0" xfId="0" applyFont="1" applyAlignment="1">
      <alignment vertical="center"/>
    </xf>
    <xf numFmtId="3" fontId="5" fillId="0" borderId="0" xfId="0" applyNumberFormat="1" applyFont="1" applyAlignment="1">
      <alignment wrapText="1"/>
    </xf>
    <xf numFmtId="0" fontId="66" fillId="0" borderId="0" xfId="0" applyFont="1" applyAlignment="1">
      <alignment wrapText="1"/>
    </xf>
    <xf numFmtId="3" fontId="74" fillId="0" borderId="9" xfId="0" applyNumberFormat="1" applyFont="1" applyBorder="1" applyAlignment="1">
      <alignment horizontal="right" wrapText="1"/>
    </xf>
    <xf numFmtId="37" fontId="17" fillId="0" borderId="0" xfId="0" applyNumberFormat="1" applyFont="1" applyAlignment="1">
      <alignment horizontal="right"/>
    </xf>
    <xf numFmtId="3" fontId="4" fillId="0" borderId="0" xfId="0" applyNumberFormat="1" applyFont="1" applyAlignment="1">
      <alignment horizontal="left"/>
    </xf>
    <xf numFmtId="3" fontId="2" fillId="0" borderId="0" xfId="0" applyNumberFormat="1" applyFont="1" applyAlignment="1">
      <alignment horizontal="left"/>
    </xf>
    <xf numFmtId="3" fontId="9" fillId="0" borderId="9" xfId="0" applyNumberFormat="1" applyFont="1" applyBorder="1" applyAlignment="1">
      <alignment horizontal="right" wrapText="1"/>
    </xf>
    <xf numFmtId="3" fontId="9" fillId="0" borderId="13" xfId="0" applyNumberFormat="1" applyFont="1" applyBorder="1" applyAlignment="1">
      <alignment horizontal="right" wrapText="1"/>
    </xf>
    <xf numFmtId="164" fontId="16" fillId="0" borderId="0" xfId="0" applyNumberFormat="1" applyFont="1"/>
    <xf numFmtId="1" fontId="16" fillId="0" borderId="0" xfId="0" applyNumberFormat="1" applyFont="1"/>
    <xf numFmtId="169" fontId="16" fillId="0" borderId="0" xfId="0" applyNumberFormat="1" applyFont="1"/>
    <xf numFmtId="169" fontId="16" fillId="0" borderId="1" xfId="0" applyNumberFormat="1" applyFont="1" applyBorder="1"/>
    <xf numFmtId="0" fontId="76" fillId="0" borderId="0" xfId="0" applyFont="1" applyAlignment="1">
      <alignment horizontal="left" vertical="center" readingOrder="1"/>
    </xf>
    <xf numFmtId="3" fontId="9" fillId="0" borderId="12" xfId="0" applyNumberFormat="1" applyFont="1" applyBorder="1" applyAlignment="1">
      <alignment horizontal="right" wrapText="1"/>
    </xf>
    <xf numFmtId="4" fontId="9" fillId="0" borderId="20" xfId="0" applyNumberFormat="1" applyFont="1" applyBorder="1" applyAlignment="1">
      <alignment horizontal="center" wrapText="1"/>
    </xf>
    <xf numFmtId="4" fontId="9" fillId="0" borderId="0" xfId="0" applyNumberFormat="1" applyFont="1" applyAlignment="1">
      <alignment horizontal="center" wrapText="1"/>
    </xf>
    <xf numFmtId="4" fontId="49" fillId="0" borderId="0" xfId="0" applyNumberFormat="1" applyFont="1" applyAlignment="1">
      <alignment horizontal="right" wrapText="1"/>
    </xf>
    <xf numFmtId="2" fontId="49" fillId="0" borderId="0" xfId="0" applyNumberFormat="1" applyFont="1" applyAlignment="1">
      <alignment horizontal="center" vertical="center" wrapText="1"/>
    </xf>
    <xf numFmtId="3" fontId="48" fillId="0" borderId="0" xfId="0" applyNumberFormat="1" applyFont="1"/>
    <xf numFmtId="2" fontId="49" fillId="0" borderId="0" xfId="0" applyNumberFormat="1" applyFont="1" applyAlignment="1">
      <alignment horizontal="center" vertical="center"/>
    </xf>
    <xf numFmtId="3" fontId="75" fillId="0" borderId="0" xfId="0" applyNumberFormat="1" applyFont="1" applyAlignment="1">
      <alignment horizontal="right" wrapText="1"/>
    </xf>
    <xf numFmtId="3" fontId="75" fillId="0" borderId="0" xfId="0" applyNumberFormat="1" applyFont="1" applyAlignment="1">
      <alignment horizontal="center" wrapText="1"/>
    </xf>
    <xf numFmtId="3" fontId="75" fillId="35" borderId="12" xfId="0" applyNumberFormat="1" applyFont="1" applyFill="1" applyBorder="1" applyAlignment="1">
      <alignment horizontal="right" wrapText="1"/>
    </xf>
    <xf numFmtId="0" fontId="30" fillId="34" borderId="7" xfId="0" applyFont="1" applyFill="1" applyBorder="1" applyAlignment="1">
      <alignment horizontal="center" vertical="center" wrapText="1"/>
    </xf>
    <xf numFmtId="0" fontId="9" fillId="0" borderId="7" xfId="0" applyFont="1" applyBorder="1" applyAlignment="1">
      <alignment horizontal="left" wrapText="1" indent="4"/>
    </xf>
    <xf numFmtId="167" fontId="2" fillId="0" borderId="0" xfId="7" applyNumberFormat="1" applyFont="1" applyFill="1" applyBorder="1" applyAlignment="1">
      <alignment horizontal="right" vertical="center"/>
    </xf>
    <xf numFmtId="1" fontId="2" fillId="0" borderId="0" xfId="0" applyNumberFormat="1" applyFont="1" applyAlignment="1">
      <alignment horizontal="right"/>
    </xf>
    <xf numFmtId="167" fontId="2" fillId="0" borderId="0" xfId="7" applyNumberFormat="1" applyFont="1" applyFill="1" applyBorder="1" applyAlignment="1">
      <alignment horizontal="right"/>
    </xf>
    <xf numFmtId="167" fontId="36" fillId="0" borderId="0" xfId="7" applyNumberFormat="1" applyFont="1" applyFill="1" applyBorder="1" applyAlignment="1">
      <alignment horizontal="right"/>
    </xf>
    <xf numFmtId="1" fontId="4" fillId="0" borderId="0" xfId="0" applyNumberFormat="1" applyFont="1" applyAlignment="1">
      <alignment horizontal="right"/>
    </xf>
    <xf numFmtId="167" fontId="4" fillId="0" borderId="0" xfId="4" applyNumberFormat="1" applyFont="1" applyAlignment="1">
      <alignment horizontal="right"/>
    </xf>
    <xf numFmtId="167" fontId="38" fillId="0" borderId="0" xfId="7" applyNumberFormat="1" applyFont="1" applyFill="1" applyBorder="1" applyAlignment="1">
      <alignment horizontal="right"/>
    </xf>
    <xf numFmtId="167" fontId="4" fillId="0" borderId="0" xfId="7" applyNumberFormat="1" applyFont="1" applyFill="1" applyBorder="1" applyAlignment="1">
      <alignment horizontal="right" vertical="center"/>
    </xf>
    <xf numFmtId="3" fontId="37" fillId="36" borderId="0" xfId="0" applyNumberFormat="1" applyFont="1" applyFill="1" applyAlignment="1">
      <alignment horizontal="right" wrapText="1"/>
    </xf>
    <xf numFmtId="3" fontId="37" fillId="0" borderId="0" xfId="0" applyNumberFormat="1" applyFont="1" applyAlignment="1">
      <alignment horizontal="right" wrapText="1"/>
    </xf>
    <xf numFmtId="169" fontId="37" fillId="0" borderId="0" xfId="11" applyNumberFormat="1" applyFont="1" applyFill="1" applyBorder="1" applyAlignment="1">
      <alignment horizontal="right" wrapText="1"/>
    </xf>
    <xf numFmtId="167" fontId="4" fillId="0" borderId="20" xfId="7" applyNumberFormat="1" applyFont="1" applyFill="1" applyBorder="1" applyAlignment="1">
      <alignment horizontal="right" vertical="center"/>
    </xf>
    <xf numFmtId="167" fontId="4" fillId="0" borderId="9" xfId="7" applyNumberFormat="1" applyFont="1" applyFill="1" applyBorder="1" applyAlignment="1">
      <alignment horizontal="right" vertical="center"/>
    </xf>
    <xf numFmtId="167" fontId="44" fillId="0" borderId="21" xfId="10" applyNumberFormat="1" applyFont="1" applyFill="1" applyBorder="1" applyAlignment="1">
      <alignment horizontal="center"/>
    </xf>
    <xf numFmtId="167" fontId="44" fillId="0" borderId="23" xfId="10" applyNumberFormat="1" applyFont="1" applyFill="1" applyBorder="1" applyAlignment="1">
      <alignment horizontal="center"/>
    </xf>
    <xf numFmtId="167" fontId="9" fillId="0" borderId="0" xfId="0" applyNumberFormat="1" applyFont="1"/>
    <xf numFmtId="167" fontId="36" fillId="0" borderId="9" xfId="7" applyNumberFormat="1" applyFont="1" applyFill="1" applyBorder="1" applyAlignment="1">
      <alignment horizontal="right"/>
    </xf>
    <xf numFmtId="0" fontId="77" fillId="0" borderId="16" xfId="0" applyFont="1" applyBorder="1" applyAlignment="1">
      <alignment vertical="center"/>
    </xf>
    <xf numFmtId="0" fontId="77" fillId="0" borderId="0" xfId="0" applyFont="1" applyAlignment="1">
      <alignment vertical="center"/>
    </xf>
    <xf numFmtId="0" fontId="77" fillId="0" borderId="0" xfId="0" applyFont="1" applyAlignment="1">
      <alignment horizontal="left" vertical="center"/>
    </xf>
    <xf numFmtId="0" fontId="48" fillId="0" borderId="0" xfId="0" applyFont="1" applyAlignment="1">
      <alignment wrapText="1"/>
    </xf>
    <xf numFmtId="0" fontId="77" fillId="0" borderId="0" xfId="0" applyFont="1" applyAlignment="1">
      <alignment vertical="center" wrapText="1"/>
    </xf>
    <xf numFmtId="0" fontId="49" fillId="0" borderId="0" xfId="0" applyFont="1" applyAlignment="1">
      <alignment horizontal="center" vertical="center" wrapText="1"/>
    </xf>
    <xf numFmtId="0" fontId="2" fillId="0" borderId="0" xfId="0" applyFont="1" applyAlignment="1">
      <alignment horizontal="left" vertical="center" wrapText="1"/>
    </xf>
    <xf numFmtId="1" fontId="10" fillId="0" borderId="0" xfId="0" applyNumberFormat="1" applyFont="1" applyAlignment="1">
      <alignment horizontal="left" wrapText="1"/>
    </xf>
    <xf numFmtId="1" fontId="8" fillId="0" borderId="1" xfId="0" applyNumberFormat="1" applyFont="1" applyBorder="1" applyAlignment="1">
      <alignment horizontal="left" vertical="center" wrapText="1"/>
    </xf>
    <xf numFmtId="0" fontId="5" fillId="0" borderId="0" xfId="0" applyFont="1" applyAlignment="1">
      <alignment horizontal="left" wrapText="1"/>
    </xf>
    <xf numFmtId="0" fontId="2" fillId="0" borderId="0" xfId="0" applyFont="1" applyAlignment="1">
      <alignment wrapText="1"/>
    </xf>
    <xf numFmtId="0" fontId="9" fillId="0" borderId="0" xfId="0" applyFont="1" applyAlignment="1">
      <alignment horizontal="left" wrapText="1"/>
    </xf>
    <xf numFmtId="0" fontId="17" fillId="0" borderId="0" xfId="0" applyFont="1" applyAlignment="1">
      <alignment horizontal="left" vertical="center" wrapText="1"/>
    </xf>
    <xf numFmtId="1" fontId="5" fillId="0" borderId="0" xfId="0" applyNumberFormat="1" applyFont="1" applyAlignment="1">
      <alignment horizontal="left" wrapText="1"/>
    </xf>
    <xf numFmtId="1" fontId="8" fillId="0" borderId="0" xfId="0" applyNumberFormat="1" applyFont="1" applyAlignment="1">
      <alignment horizontal="left" vertical="center" wrapText="1"/>
    </xf>
    <xf numFmtId="3" fontId="29" fillId="0" borderId="0" xfId="0" quotePrefix="1" applyNumberFormat="1" applyFont="1" applyAlignment="1">
      <alignment horizontal="center" wrapText="1"/>
    </xf>
    <xf numFmtId="3" fontId="6" fillId="0" borderId="0" xfId="0" applyNumberFormat="1" applyFont="1" applyAlignment="1">
      <alignment horizontal="left" wrapText="1"/>
    </xf>
    <xf numFmtId="0" fontId="25" fillId="0" borderId="0" xfId="0" applyFont="1" applyAlignment="1">
      <alignment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3" fontId="4" fillId="0" borderId="0" xfId="0" applyNumberFormat="1" applyFont="1" applyAlignment="1">
      <alignment horizontal="left"/>
    </xf>
    <xf numFmtId="3" fontId="4" fillId="0" borderId="9" xfId="0" applyNumberFormat="1" applyFont="1" applyBorder="1" applyAlignment="1">
      <alignment horizontal="left"/>
    </xf>
    <xf numFmtId="166" fontId="2" fillId="0" borderId="0" xfId="0" applyNumberFormat="1" applyFont="1" applyAlignment="1">
      <alignment horizontal="center"/>
    </xf>
    <xf numFmtId="0" fontId="2" fillId="0" borderId="0" xfId="0" applyFont="1" applyAlignment="1">
      <alignment horizontal="left" wrapText="1"/>
    </xf>
    <xf numFmtId="0" fontId="7" fillId="0" borderId="0" xfId="0" applyFont="1" applyAlignment="1">
      <alignment horizontal="left" wrapText="1"/>
    </xf>
    <xf numFmtId="164" fontId="5" fillId="0" borderId="0" xfId="0" applyNumberFormat="1" applyFont="1" applyAlignment="1">
      <alignment horizontal="left" wrapText="1"/>
    </xf>
    <xf numFmtId="0" fontId="27" fillId="0" borderId="0" xfId="0" applyFont="1" applyAlignment="1">
      <alignment horizontal="center"/>
    </xf>
    <xf numFmtId="0" fontId="16" fillId="0" borderId="0" xfId="0" applyFont="1" applyAlignment="1">
      <alignment horizontal="left" wrapText="1"/>
    </xf>
    <xf numFmtId="0" fontId="19"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0" xfId="0" applyFont="1" applyAlignment="1">
      <alignment vertical="center" wrapText="1"/>
    </xf>
    <xf numFmtId="166" fontId="4" fillId="0" borderId="0" xfId="0" applyNumberFormat="1" applyFont="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wrapText="1"/>
    </xf>
    <xf numFmtId="0" fontId="4" fillId="0" borderId="0" xfId="0" applyFont="1" applyAlignment="1">
      <alignment horizontal="center" vertical="center"/>
    </xf>
    <xf numFmtId="0" fontId="16" fillId="0" borderId="0" xfId="1" applyFont="1" applyAlignment="1">
      <alignment horizontal="left" vertical="top" wrapText="1"/>
    </xf>
    <xf numFmtId="0" fontId="19" fillId="0" borderId="0" xfId="1" applyFont="1" applyAlignment="1">
      <alignment horizontal="lef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6"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165" fontId="4" fillId="0" borderId="5"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165" fontId="4" fillId="0" borderId="11" xfId="0" applyNumberFormat="1" applyFont="1" applyBorder="1" applyAlignment="1">
      <alignment horizontal="center" vertical="top" wrapText="1"/>
    </xf>
    <xf numFmtId="165" fontId="4" fillId="0" borderId="5" xfId="0" applyNumberFormat="1" applyFont="1" applyBorder="1" applyAlignment="1">
      <alignment horizontal="center"/>
    </xf>
    <xf numFmtId="165" fontId="4" fillId="0" borderId="4" xfId="0" applyNumberFormat="1" applyFont="1" applyBorder="1" applyAlignment="1">
      <alignment horizontal="center"/>
    </xf>
    <xf numFmtId="165" fontId="4" fillId="0" borderId="11" xfId="0" applyNumberFormat="1" applyFont="1" applyBorder="1" applyAlignment="1">
      <alignment horizontal="center"/>
    </xf>
    <xf numFmtId="1" fontId="2" fillId="0" borderId="0" xfId="0" applyNumberFormat="1" applyFont="1" applyAlignment="1">
      <alignment horizontal="left" wrapText="1"/>
    </xf>
    <xf numFmtId="3" fontId="5" fillId="0" borderId="0" xfId="0" applyNumberFormat="1" applyFont="1" applyAlignment="1">
      <alignment horizontal="left" wrapText="1"/>
    </xf>
    <xf numFmtId="3" fontId="5" fillId="0" borderId="0" xfId="0" applyNumberFormat="1" applyFont="1" applyAlignment="1">
      <alignment horizontal="left" vertical="top" wrapText="1"/>
    </xf>
    <xf numFmtId="0" fontId="37" fillId="34" borderId="7" xfId="0" applyFont="1" applyFill="1" applyBorder="1" applyAlignment="1">
      <alignment horizontal="center" vertical="center" wrapText="1"/>
    </xf>
    <xf numFmtId="0" fontId="37" fillId="34" borderId="8" xfId="0" applyFont="1" applyFill="1" applyBorder="1" applyAlignment="1">
      <alignment horizontal="center" vertical="center" wrapText="1"/>
    </xf>
    <xf numFmtId="0" fontId="37" fillId="34" borderId="6" xfId="0" applyFont="1" applyFill="1" applyBorder="1" applyAlignment="1">
      <alignment horizontal="center" vertical="center" wrapText="1"/>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0" builtinId="3"/>
    <cellStyle name="Comma 2" xfId="7" xr:uid="{00000000-0005-0000-0000-00001C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19" builtinId="20" customBuiltin="1"/>
    <cellStyle name="Linked Cell" xfId="22" builtinId="24" customBuiltin="1"/>
    <cellStyle name="Neutral 2" xfId="46" xr:uid="{00000000-0005-0000-0000-000025000000}"/>
    <cellStyle name="Normal" xfId="0" builtinId="0"/>
    <cellStyle name="Normal 2" xfId="2" xr:uid="{00000000-0005-0000-0000-000027000000}"/>
    <cellStyle name="Normal 2 2" xfId="5" xr:uid="{00000000-0005-0000-0000-000028000000}"/>
    <cellStyle name="Normal 2 2 2" xfId="48" xr:uid="{00000000-0005-0000-0000-000029000000}"/>
    <cellStyle name="Normal 3" xfId="3" xr:uid="{00000000-0005-0000-0000-00002A000000}"/>
    <cellStyle name="Normal 3 2" xfId="6" xr:uid="{00000000-0005-0000-0000-00002B000000}"/>
    <cellStyle name="Normal 3 3" xfId="8" xr:uid="{00000000-0005-0000-0000-00002C000000}"/>
    <cellStyle name="Normal 3 4" xfId="47" xr:uid="{00000000-0005-0000-0000-00002D000000}"/>
    <cellStyle name="Normal 4" xfId="1" xr:uid="{00000000-0005-0000-0000-00002E000000}"/>
    <cellStyle name="Normal 5" xfId="9" xr:uid="{00000000-0005-0000-0000-00002F000000}"/>
    <cellStyle name="Normal_Sheet1" xfId="4" xr:uid="{00000000-0005-0000-0000-000030000000}"/>
    <cellStyle name="Note" xfId="25" builtinId="10" customBuiltin="1"/>
    <cellStyle name="Output" xfId="20" builtinId="21" customBuiltin="1"/>
    <cellStyle name="Percent" xfId="11"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0000FF"/>
      <color rgb="FF7C650A"/>
      <color rgb="FF543800"/>
      <color rgb="FF996600"/>
      <color rgb="FF179C99"/>
      <color rgb="FF6A5334"/>
      <color rgb="FFF79B4F"/>
      <color rgb="FF0066FF"/>
      <color rgb="FFE98517"/>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7"/>
          <c:order val="0"/>
          <c:tx>
            <c:strRef>
              <c:f>'[1]Capacity 1970-2022'!$A$151</c:f>
              <c:strCache>
                <c:ptCount val="1"/>
                <c:pt idx="0">
                  <c:v>Hydro Capacity</c:v>
                </c:pt>
              </c:strCache>
            </c:strRef>
          </c:tx>
          <c:spPr>
            <a:solidFill>
              <a:srgbClr val="0066FF"/>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1970-2022'!$B$151:$BD$151</c:f>
              <c:numCache>
                <c:formatCode>General</c:formatCode>
                <c:ptCount val="55"/>
                <c:pt idx="0">
                  <c:v>0.88306421044651651</c:v>
                </c:pt>
                <c:pt idx="1">
                  <c:v>0.88306421044651651</c:v>
                </c:pt>
                <c:pt idx="2">
                  <c:v>0.87533345857599087</c:v>
                </c:pt>
                <c:pt idx="3">
                  <c:v>0.87533345857599087</c:v>
                </c:pt>
                <c:pt idx="4">
                  <c:v>0.87533345857599087</c:v>
                </c:pt>
                <c:pt idx="5">
                  <c:v>0.78480714165403398</c:v>
                </c:pt>
                <c:pt idx="6">
                  <c:v>0.78480714165403398</c:v>
                </c:pt>
                <c:pt idx="7">
                  <c:v>0.71125019081056318</c:v>
                </c:pt>
                <c:pt idx="8">
                  <c:v>0.71125019081056318</c:v>
                </c:pt>
                <c:pt idx="9">
                  <c:v>0.70252095772269463</c:v>
                </c:pt>
                <c:pt idx="10">
                  <c:v>0.70252095772269463</c:v>
                </c:pt>
                <c:pt idx="11">
                  <c:v>0.70252095772269463</c:v>
                </c:pt>
                <c:pt idx="12">
                  <c:v>0.70252095772269463</c:v>
                </c:pt>
                <c:pt idx="13">
                  <c:v>0.70252095772269463</c:v>
                </c:pt>
                <c:pt idx="14">
                  <c:v>0.57436894927187876</c:v>
                </c:pt>
                <c:pt idx="15">
                  <c:v>0.58399410752267922</c:v>
                </c:pt>
                <c:pt idx="16">
                  <c:v>0.49338876036346468</c:v>
                </c:pt>
                <c:pt idx="17">
                  <c:v>0.49340891879684667</c:v>
                </c:pt>
                <c:pt idx="18">
                  <c:v>0.49348932211582003</c:v>
                </c:pt>
                <c:pt idx="19">
                  <c:v>0.49469231649424766</c:v>
                </c:pt>
                <c:pt idx="20">
                  <c:v>0.50567079160660144</c:v>
                </c:pt>
                <c:pt idx="21">
                  <c:v>0.50696071072756355</c:v>
                </c:pt>
                <c:pt idx="22">
                  <c:v>0.50696071072756355</c:v>
                </c:pt>
                <c:pt idx="23">
                  <c:v>0.50696071072756355</c:v>
                </c:pt>
                <c:pt idx="24">
                  <c:v>0.5122362876013129</c:v>
                </c:pt>
                <c:pt idx="25">
                  <c:v>0.50560139077258104</c:v>
                </c:pt>
                <c:pt idx="26">
                  <c:v>0.50564572113556816</c:v>
                </c:pt>
                <c:pt idx="27">
                  <c:v>0.50564572113556816</c:v>
                </c:pt>
                <c:pt idx="28">
                  <c:v>0.50564572113556816</c:v>
                </c:pt>
                <c:pt idx="29">
                  <c:v>0.50564572113556816</c:v>
                </c:pt>
                <c:pt idx="30">
                  <c:v>0.50564572113556816</c:v>
                </c:pt>
                <c:pt idx="31">
                  <c:v>0.50603941968690735</c:v>
                </c:pt>
                <c:pt idx="32">
                  <c:v>0.50603941968690735</c:v>
                </c:pt>
                <c:pt idx="33">
                  <c:v>0.50174389636273042</c:v>
                </c:pt>
                <c:pt idx="34">
                  <c:v>0.50248050133565458</c:v>
                </c:pt>
                <c:pt idx="35">
                  <c:v>0.48927729925981772</c:v>
                </c:pt>
                <c:pt idx="36">
                  <c:v>0.47322773135950902</c:v>
                </c:pt>
                <c:pt idx="37">
                  <c:v>0.47130289189700864</c:v>
                </c:pt>
                <c:pt idx="38">
                  <c:v>0.47130289189700864</c:v>
                </c:pt>
                <c:pt idx="39">
                  <c:v>0.47542960064300754</c:v>
                </c:pt>
                <c:pt idx="40">
                  <c:v>0.44935493239491875</c:v>
                </c:pt>
                <c:pt idx="41">
                  <c:v>0.43920222020442651</c:v>
                </c:pt>
                <c:pt idx="42">
                  <c:v>0.42273479290693655</c:v>
                </c:pt>
                <c:pt idx="43">
                  <c:v>0.42839149257703729</c:v>
                </c:pt>
                <c:pt idx="44">
                  <c:v>0.4270515199528494</c:v>
                </c:pt>
                <c:pt idx="45">
                  <c:v>0.42579403909273839</c:v>
                </c:pt>
                <c:pt idx="46">
                  <c:v>0.43544497624387551</c:v>
                </c:pt>
                <c:pt idx="47">
                  <c:v>0.43481141978067878</c:v>
                </c:pt>
                <c:pt idx="48">
                  <c:v>0.42689562272247428</c:v>
                </c:pt>
                <c:pt idx="49">
                  <c:v>0.42689562272247428</c:v>
                </c:pt>
                <c:pt idx="50">
                  <c:v>0.46719522304359878</c:v>
                </c:pt>
                <c:pt idx="51">
                  <c:v>0.47300016117112786</c:v>
                </c:pt>
                <c:pt idx="52">
                  <c:v>0.42336214251467985</c:v>
                </c:pt>
                <c:pt idx="53">
                  <c:v>0.39948474901725867</c:v>
                </c:pt>
                <c:pt idx="54">
                  <c:v>0.38388214326242076</c:v>
                </c:pt>
              </c:numCache>
            </c:numRef>
          </c:val>
          <c:extLst>
            <c:ext xmlns:c16="http://schemas.microsoft.com/office/drawing/2014/chart" uri="{C3380CC4-5D6E-409C-BE32-E72D297353CC}">
              <c16:uniqueId val="{00000000-E5DE-4026-A557-3049CBFB0D95}"/>
            </c:ext>
          </c:extLst>
        </c:ser>
        <c:ser>
          <c:idx val="1"/>
          <c:order val="1"/>
          <c:tx>
            <c:v>Natural Gas Capacity</c:v>
          </c:tx>
          <c:spPr>
            <a:solidFill>
              <a:srgbClr val="E98517"/>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1970-2022'!$B$153:$BD$153</c:f>
              <c:numCache>
                <c:formatCode>General</c:formatCode>
                <c:ptCount val="55"/>
                <c:pt idx="0">
                  <c:v>2.7670381320597379E-2</c:v>
                </c:pt>
                <c:pt idx="1">
                  <c:v>2.7670381320597379E-2</c:v>
                </c:pt>
                <c:pt idx="2">
                  <c:v>3.6182603794852525E-2</c:v>
                </c:pt>
                <c:pt idx="3">
                  <c:v>3.6182603794852525E-2</c:v>
                </c:pt>
                <c:pt idx="4">
                  <c:v>3.6182603794852525E-2</c:v>
                </c:pt>
                <c:pt idx="5">
                  <c:v>3.2440626579080339E-2</c:v>
                </c:pt>
                <c:pt idx="6">
                  <c:v>3.2440626579080339E-2</c:v>
                </c:pt>
                <c:pt idx="7">
                  <c:v>2.9400091589070369E-2</c:v>
                </c:pt>
                <c:pt idx="8">
                  <c:v>2.9400091589070369E-2</c:v>
                </c:pt>
                <c:pt idx="9">
                  <c:v>4.1312345455642004E-2</c:v>
                </c:pt>
                <c:pt idx="10">
                  <c:v>4.1312345455642004E-2</c:v>
                </c:pt>
                <c:pt idx="11">
                  <c:v>4.1312345455642004E-2</c:v>
                </c:pt>
                <c:pt idx="12">
                  <c:v>4.1312345455642004E-2</c:v>
                </c:pt>
                <c:pt idx="13">
                  <c:v>4.1312345455642004E-2</c:v>
                </c:pt>
                <c:pt idx="14">
                  <c:v>3.37743724006676E-2</c:v>
                </c:pt>
                <c:pt idx="15">
                  <c:v>1.778766538144521E-2</c:v>
                </c:pt>
                <c:pt idx="16">
                  <c:v>1.3546321009708902E-2</c:v>
                </c:pt>
                <c:pt idx="17">
                  <c:v>1.3545781991644792E-2</c:v>
                </c:pt>
                <c:pt idx="18">
                  <c:v>1.3543632080462718E-2</c:v>
                </c:pt>
                <c:pt idx="19">
                  <c:v>1.3511465111497032E-2</c:v>
                </c:pt>
                <c:pt idx="20">
                  <c:v>1.3027411709770438E-2</c:v>
                </c:pt>
                <c:pt idx="21">
                  <c:v>1.3060643424435404E-2</c:v>
                </c:pt>
                <c:pt idx="22">
                  <c:v>1.3060643424435404E-2</c:v>
                </c:pt>
                <c:pt idx="23">
                  <c:v>1.3060643424435404E-2</c:v>
                </c:pt>
                <c:pt idx="24">
                  <c:v>1.2920893043673829E-2</c:v>
                </c:pt>
                <c:pt idx="25">
                  <c:v>1.2753531233597265E-2</c:v>
                </c:pt>
                <c:pt idx="26">
                  <c:v>1.2752387685338023E-2</c:v>
                </c:pt>
                <c:pt idx="27">
                  <c:v>1.2752387685338023E-2</c:v>
                </c:pt>
                <c:pt idx="28">
                  <c:v>1.2752387685338023E-2</c:v>
                </c:pt>
                <c:pt idx="29">
                  <c:v>1.2752387685338023E-2</c:v>
                </c:pt>
                <c:pt idx="30">
                  <c:v>1.2752387685338023E-2</c:v>
                </c:pt>
                <c:pt idx="31">
                  <c:v>1.2742231817830683E-2</c:v>
                </c:pt>
                <c:pt idx="32">
                  <c:v>1.2742231817830683E-2</c:v>
                </c:pt>
                <c:pt idx="33">
                  <c:v>2.1122584425193283E-2</c:v>
                </c:pt>
                <c:pt idx="34">
                  <c:v>2.1091357510730969E-2</c:v>
                </c:pt>
                <c:pt idx="35">
                  <c:v>2.0537159975647153E-2</c:v>
                </c:pt>
                <c:pt idx="36">
                  <c:v>2.951677146667538E-2</c:v>
                </c:pt>
                <c:pt idx="37">
                  <c:v>2.939671289284362E-2</c:v>
                </c:pt>
                <c:pt idx="38">
                  <c:v>2.939671289284362E-2</c:v>
                </c:pt>
                <c:pt idx="39">
                  <c:v>2.9150948377520552E-2</c:v>
                </c:pt>
                <c:pt idx="40">
                  <c:v>4.3321039399965483E-2</c:v>
                </c:pt>
                <c:pt idx="41">
                  <c:v>6.7409655893929568E-2</c:v>
                </c:pt>
                <c:pt idx="42">
                  <c:v>6.4746679426078965E-2</c:v>
                </c:pt>
                <c:pt idx="43">
                  <c:v>6.3710266097075668E-2</c:v>
                </c:pt>
                <c:pt idx="44">
                  <c:v>6.3510985733368497E-2</c:v>
                </c:pt>
                <c:pt idx="45">
                  <c:v>6.6268538291136089E-2</c:v>
                </c:pt>
                <c:pt idx="46">
                  <c:v>6.7770563776293674E-2</c:v>
                </c:pt>
                <c:pt idx="47">
                  <c:v>6.7671960092619735E-2</c:v>
                </c:pt>
                <c:pt idx="48">
                  <c:v>6.6439983474125469E-2</c:v>
                </c:pt>
                <c:pt idx="49">
                  <c:v>6.6439983474125469E-2</c:v>
                </c:pt>
                <c:pt idx="50">
                  <c:v>7.2488325414050161E-2</c:v>
                </c:pt>
                <c:pt idx="51">
                  <c:v>7.3253240090906821E-2</c:v>
                </c:pt>
                <c:pt idx="52">
                  <c:v>6.5565831086066825E-2</c:v>
                </c:pt>
                <c:pt idx="53">
                  <c:v>6.1867954040357241E-2</c:v>
                </c:pt>
                <c:pt idx="54">
                  <c:v>8.4305931112567026E-2</c:v>
                </c:pt>
              </c:numCache>
            </c:numRef>
          </c:val>
          <c:extLst>
            <c:ext xmlns:c16="http://schemas.microsoft.com/office/drawing/2014/chart" uri="{C3380CC4-5D6E-409C-BE32-E72D297353CC}">
              <c16:uniqueId val="{00000000-CA96-45E5-B129-F562942FF2DD}"/>
            </c:ext>
          </c:extLst>
        </c:ser>
        <c:ser>
          <c:idx val="0"/>
          <c:order val="2"/>
          <c:tx>
            <c:strRef>
              <c:f>'[1]Capacity 1970-2022'!$A$152</c:f>
              <c:strCache>
                <c:ptCount val="1"/>
                <c:pt idx="0">
                  <c:v>Coal Capacity</c:v>
                </c:pt>
              </c:strCache>
            </c:strRef>
          </c:tx>
          <c:spPr>
            <a:solidFill>
              <a:schemeClr val="accent2">
                <a:lumMod val="50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1970-2022'!$B$152:$BD$152</c:f>
              <c:numCache>
                <c:formatCode>General</c:formatCode>
                <c:ptCount val="55"/>
                <c:pt idx="0">
                  <c:v>8.4527329239633089E-2</c:v>
                </c:pt>
                <c:pt idx="1">
                  <c:v>8.4527329239633089E-2</c:v>
                </c:pt>
                <c:pt idx="2">
                  <c:v>8.3787337967311665E-2</c:v>
                </c:pt>
                <c:pt idx="3">
                  <c:v>8.3787337967311665E-2</c:v>
                </c:pt>
                <c:pt idx="4">
                  <c:v>8.3787337967311665E-2</c:v>
                </c:pt>
                <c:pt idx="5">
                  <c:v>0.17854135085059794</c:v>
                </c:pt>
                <c:pt idx="6">
                  <c:v>0.17854135085059794</c:v>
                </c:pt>
                <c:pt idx="7">
                  <c:v>0.25553350633491068</c:v>
                </c:pt>
                <c:pt idx="8">
                  <c:v>0.25553350633491068</c:v>
                </c:pt>
                <c:pt idx="9">
                  <c:v>0.25239732223629457</c:v>
                </c:pt>
                <c:pt idx="10">
                  <c:v>0.25239732223629457</c:v>
                </c:pt>
                <c:pt idx="11">
                  <c:v>0.25239732223629457</c:v>
                </c:pt>
                <c:pt idx="12">
                  <c:v>0.25239732223629457</c:v>
                </c:pt>
                <c:pt idx="13">
                  <c:v>0.25239732223629457</c:v>
                </c:pt>
                <c:pt idx="14">
                  <c:v>0.38877507500622482</c:v>
                </c:pt>
                <c:pt idx="15">
                  <c:v>0.39508659586674788</c:v>
                </c:pt>
                <c:pt idx="16">
                  <c:v>0.49041915280461762</c:v>
                </c:pt>
                <c:pt idx="17">
                  <c:v>0.4903996386662654</c:v>
                </c:pt>
                <c:pt idx="18">
                  <c:v>0.49032180516300183</c:v>
                </c:pt>
                <c:pt idx="19">
                  <c:v>0.489157260364666</c:v>
                </c:pt>
                <c:pt idx="20">
                  <c:v>0.47875738033406356</c:v>
                </c:pt>
                <c:pt idx="21">
                  <c:v>0.47997864584800104</c:v>
                </c:pt>
                <c:pt idx="22">
                  <c:v>0.47997864584800104</c:v>
                </c:pt>
                <c:pt idx="23">
                  <c:v>0.47997864584800104</c:v>
                </c:pt>
                <c:pt idx="24">
                  <c:v>0.47484281935501327</c:v>
                </c:pt>
                <c:pt idx="25">
                  <c:v>0.4686922728346995</c:v>
                </c:pt>
                <c:pt idx="26">
                  <c:v>0.46865024743617234</c:v>
                </c:pt>
                <c:pt idx="27">
                  <c:v>0.46865024743617234</c:v>
                </c:pt>
                <c:pt idx="28">
                  <c:v>0.46865024743617234</c:v>
                </c:pt>
                <c:pt idx="29">
                  <c:v>0.46865024743617234</c:v>
                </c:pt>
                <c:pt idx="30">
                  <c:v>0.46865024743617234</c:v>
                </c:pt>
                <c:pt idx="31">
                  <c:v>0.4682770193052776</c:v>
                </c:pt>
                <c:pt idx="32">
                  <c:v>0.4682770193052776</c:v>
                </c:pt>
                <c:pt idx="33">
                  <c:v>0.46430204269209907</c:v>
                </c:pt>
                <c:pt idx="34">
                  <c:v>0.46361563425457231</c:v>
                </c:pt>
                <c:pt idx="35">
                  <c:v>0.45143364731515984</c:v>
                </c:pt>
                <c:pt idx="36">
                  <c:v>0.45810400596424422</c:v>
                </c:pt>
                <c:pt idx="37">
                  <c:v>0.45624068179666788</c:v>
                </c:pt>
                <c:pt idx="38">
                  <c:v>0.45624068179666788</c:v>
                </c:pt>
                <c:pt idx="39">
                  <c:v>0.45242638560507836</c:v>
                </c:pt>
                <c:pt idx="40">
                  <c:v>0.42761331570917926</c:v>
                </c:pt>
                <c:pt idx="41">
                  <c:v>0.41586701962362493</c:v>
                </c:pt>
                <c:pt idx="42">
                  <c:v>0.39943845204933764</c:v>
                </c:pt>
                <c:pt idx="43">
                  <c:v>0.39304455911938402</c:v>
                </c:pt>
                <c:pt idx="44">
                  <c:v>0.3918151487355836</c:v>
                </c:pt>
                <c:pt idx="45">
                  <c:v>0.39066142365273893</c:v>
                </c:pt>
                <c:pt idx="46">
                  <c:v>0.37150767486254438</c:v>
                </c:pt>
                <c:pt idx="47">
                  <c:v>0.37096714482688603</c:v>
                </c:pt>
                <c:pt idx="48">
                  <c:v>0.36421364089363523</c:v>
                </c:pt>
                <c:pt idx="49">
                  <c:v>0.36421364089363523</c:v>
                </c:pt>
                <c:pt idx="50">
                  <c:v>0.29104426307547565</c:v>
                </c:pt>
                <c:pt idx="51">
                  <c:v>0.28536564409040077</c:v>
                </c:pt>
                <c:pt idx="52">
                  <c:v>0.25541853978033724</c:v>
                </c:pt>
                <c:pt idx="53">
                  <c:v>0.24101307370666639</c:v>
                </c:pt>
                <c:pt idx="54">
                  <c:v>0.23159986837140001</c:v>
                </c:pt>
              </c:numCache>
            </c:numRef>
          </c:val>
          <c:extLst>
            <c:ext xmlns:c16="http://schemas.microsoft.com/office/drawing/2014/chart" uri="{C3380CC4-5D6E-409C-BE32-E72D297353CC}">
              <c16:uniqueId val="{00000002-E5DE-4026-A557-3049CBFB0D95}"/>
            </c:ext>
          </c:extLst>
        </c:ser>
        <c:ser>
          <c:idx val="2"/>
          <c:order val="3"/>
          <c:tx>
            <c:strRef>
              <c:f>'[1]Capacity 1970-2022'!$BE$154</c:f>
              <c:strCache>
                <c:ptCount val="1"/>
                <c:pt idx="0">
                  <c:v>Pet Coke</c:v>
                </c:pt>
              </c:strCache>
            </c:strRef>
          </c:tx>
          <c:spPr>
            <a:solidFill>
              <a:schemeClr val="accent4">
                <a:lumMod val="60000"/>
                <a:lumOff val="40000"/>
              </a:schemeClr>
            </a:solidFill>
            <a:ln>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1970-2022'!$B$154:$BC$154</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1.2952805159122222E-2</c:v>
                </c:pt>
                <c:pt idx="26">
                  <c:v>1.295164374292143E-2</c:v>
                </c:pt>
                <c:pt idx="27">
                  <c:v>1.295164374292143E-2</c:v>
                </c:pt>
                <c:pt idx="28">
                  <c:v>1.295164374292143E-2</c:v>
                </c:pt>
                <c:pt idx="29">
                  <c:v>1.295164374292143E-2</c:v>
                </c:pt>
                <c:pt idx="30">
                  <c:v>1.295164374292143E-2</c:v>
                </c:pt>
                <c:pt idx="31">
                  <c:v>1.2941329189984288E-2</c:v>
                </c:pt>
                <c:pt idx="32">
                  <c:v>1.2941329189984288E-2</c:v>
                </c:pt>
                <c:pt idx="33">
                  <c:v>1.2831476519977228E-2</c:v>
                </c:pt>
                <c:pt idx="34">
                  <c:v>1.2812506899042177E-2</c:v>
                </c:pt>
                <c:pt idx="35">
                  <c:v>1.2475844845019299E-2</c:v>
                </c:pt>
                <c:pt idx="36">
                  <c:v>1.206660468763459E-2</c:v>
                </c:pt>
                <c:pt idx="37">
                  <c:v>1.201752413858387E-2</c:v>
                </c:pt>
                <c:pt idx="38">
                  <c:v>1.201752413858387E-2</c:v>
                </c:pt>
                <c:pt idx="39">
                  <c:v>1.1917054368168778E-2</c:v>
                </c:pt>
                <c:pt idx="40">
                  <c:v>1.1263470243991026E-2</c:v>
                </c:pt>
                <c:pt idx="41">
                  <c:v>1.0954069082763555E-2</c:v>
                </c:pt>
                <c:pt idx="42">
                  <c:v>1.0521335406737832E-2</c:v>
                </c:pt>
                <c:pt idx="43">
                  <c:v>1.0352918240774795E-2</c:v>
                </c:pt>
                <c:pt idx="44">
                  <c:v>1.0320535181672381E-2</c:v>
                </c:pt>
                <c:pt idx="45">
                  <c:v>1.0290145697381379E-2</c:v>
                </c:pt>
                <c:pt idx="46">
                  <c:v>1.0523379468368583E-2</c:v>
                </c:pt>
                <c:pt idx="47">
                  <c:v>1.0508068337363312E-2</c:v>
                </c:pt>
                <c:pt idx="48">
                  <c:v>1.0316767620205818E-2</c:v>
                </c:pt>
                <c:pt idx="49">
                  <c:v>1.0316767620205818E-2</c:v>
                </c:pt>
                <c:pt idx="50">
                  <c:v>1.1255951151250025E-2</c:v>
                </c:pt>
                <c:pt idx="51">
                  <c:v>9.0997813777524E-3</c:v>
                </c:pt>
                <c:pt idx="52">
                  <c:v>8.1448237373996056E-3</c:v>
                </c:pt>
                <c:pt idx="53">
                  <c:v>7.685460129236924E-3</c:v>
                </c:pt>
              </c:numCache>
            </c:numRef>
          </c:val>
          <c:extLst>
            <c:ext xmlns:c16="http://schemas.microsoft.com/office/drawing/2014/chart" uri="{C3380CC4-5D6E-409C-BE32-E72D297353CC}">
              <c16:uniqueId val="{00000003-66D3-4B0E-BB22-52BEB4C98C36}"/>
            </c:ext>
          </c:extLst>
        </c:ser>
        <c:ser>
          <c:idx val="6"/>
          <c:order val="4"/>
          <c:tx>
            <c:strRef>
              <c:f>'[1]Capacity 1970-2022'!$A$155</c:f>
              <c:strCache>
                <c:ptCount val="1"/>
                <c:pt idx="0">
                  <c:v>Wind Capacity</c:v>
                </c:pt>
              </c:strCache>
            </c:strRef>
          </c:tx>
          <c:spPr>
            <a:solidFill>
              <a:srgbClr val="00B050"/>
            </a:solidFill>
            <a:ln>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1970-2022'!$B$155:$BD$155</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2.6276048604356034E-2</c:v>
                </c:pt>
                <c:pt idx="36">
                  <c:v>2.7084886521936719E-2</c:v>
                </c:pt>
                <c:pt idx="37">
                  <c:v>3.1042189274895875E-2</c:v>
                </c:pt>
                <c:pt idx="38">
                  <c:v>3.1042189274895875E-2</c:v>
                </c:pt>
                <c:pt idx="39">
                  <c:v>3.0782668129469816E-2</c:v>
                </c:pt>
                <c:pt idx="40">
                  <c:v>6.7216924732986447E-2</c:v>
                </c:pt>
                <c:pt idx="41">
                  <c:v>6.5370513803138186E-2</c:v>
                </c:pt>
                <c:pt idx="42">
                  <c:v>0.10140948665109618</c:v>
                </c:pt>
                <c:pt idx="43">
                  <c:v>0.10297171757939853</c:v>
                </c:pt>
                <c:pt idx="44">
                  <c:v>0.10577754673892524</c:v>
                </c:pt>
                <c:pt idx="45">
                  <c:v>0.10546607790146885</c:v>
                </c:pt>
                <c:pt idx="46">
                  <c:v>0.11190399828517485</c:v>
                </c:pt>
                <c:pt idx="47">
                  <c:v>0.11174118207362342</c:v>
                </c:pt>
                <c:pt idx="48">
                  <c:v>0.12791204654036725</c:v>
                </c:pt>
                <c:pt idx="49">
                  <c:v>0.12791204654036725</c:v>
                </c:pt>
                <c:pt idx="50">
                  <c:v>0.15340995576757538</c:v>
                </c:pt>
                <c:pt idx="51">
                  <c:v>0.1546262851035004</c:v>
                </c:pt>
                <c:pt idx="52">
                  <c:v>0.2308117742198473</c:v>
                </c:pt>
                <c:pt idx="53">
                  <c:v>0.26213330933105017</c:v>
                </c:pt>
                <c:pt idx="54">
                  <c:v>0.2660976963148679</c:v>
                </c:pt>
              </c:numCache>
            </c:numRef>
          </c:val>
          <c:extLst>
            <c:ext xmlns:c16="http://schemas.microsoft.com/office/drawing/2014/chart" uri="{C3380CC4-5D6E-409C-BE32-E72D297353CC}">
              <c16:uniqueId val="{00000006-66D3-4B0E-BB22-52BEB4C98C36}"/>
            </c:ext>
          </c:extLst>
        </c:ser>
        <c:ser>
          <c:idx val="4"/>
          <c:order val="5"/>
          <c:tx>
            <c:strRef>
              <c:f>'[1]Capacity 1970-2022'!$A$156</c:f>
              <c:strCache>
                <c:ptCount val="1"/>
                <c:pt idx="0">
                  <c:v>Solar Capacity</c:v>
                </c:pt>
              </c:strCache>
            </c:strRef>
          </c:tx>
          <c:spPr>
            <a:solidFill>
              <a:srgbClr val="FFFF00"/>
            </a:solidFill>
            <a:ln>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1970-2022'!$B$156:$BD$156</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1.2951851653376719E-3</c:v>
                </c:pt>
                <c:pt idx="47">
                  <c:v>2.7482640266950202E-3</c:v>
                </c:pt>
                <c:pt idx="48">
                  <c:v>2.6982315314384446E-3</c:v>
                </c:pt>
                <c:pt idx="49">
                  <c:v>2.6982315314384446E-3</c:v>
                </c:pt>
                <c:pt idx="50">
                  <c:v>2.9438641472500065E-3</c:v>
                </c:pt>
                <c:pt idx="51">
                  <c:v>2.9749285273421308E-3</c:v>
                </c:pt>
                <c:pt idx="52">
                  <c:v>1.5193228894764649E-2</c:v>
                </c:pt>
                <c:pt idx="53">
                  <c:v>2.6160123901441068E-2</c:v>
                </c:pt>
                <c:pt idx="54">
                  <c:v>2.5138392531880663E-2</c:v>
                </c:pt>
              </c:numCache>
            </c:numRef>
          </c:val>
          <c:extLst>
            <c:ext xmlns:c16="http://schemas.microsoft.com/office/drawing/2014/chart" uri="{C3380CC4-5D6E-409C-BE32-E72D297353CC}">
              <c16:uniqueId val="{00000002-66D3-4B0E-BB22-52BEB4C98C36}"/>
            </c:ext>
          </c:extLst>
        </c:ser>
        <c:dLbls>
          <c:showLegendKey val="0"/>
          <c:showVal val="0"/>
          <c:showCatName val="0"/>
          <c:showSerName val="0"/>
          <c:showPercent val="0"/>
          <c:showBubbleSize val="0"/>
        </c:dLbls>
        <c:axId val="725571384"/>
        <c:axId val="725573024"/>
      </c:areaChart>
      <c:catAx>
        <c:axId val="72557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3024"/>
        <c:crosses val="autoZero"/>
        <c:auto val="1"/>
        <c:lblAlgn val="ctr"/>
        <c:lblOffset val="100"/>
        <c:noMultiLvlLbl val="0"/>
      </c:catAx>
      <c:valAx>
        <c:axId val="72557302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1384"/>
        <c:crosses val="autoZero"/>
        <c:crossBetween val="midCat"/>
      </c:valAx>
      <c:spPr>
        <a:solidFill>
          <a:schemeClr val="bg1">
            <a:lumMod val="5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Montana Electric Generation by Fuel, 1960-2023 (Percentage of Total) </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strRef>
              <c:f>'Table E5'!$B$3:$C$3</c:f>
              <c:strCache>
                <c:ptCount val="1"/>
                <c:pt idx="0">
                  <c:v>HYDROELECTRIC</c:v>
                </c:pt>
              </c:strCache>
            </c:strRef>
          </c:tx>
          <c:spPr>
            <a:solidFill>
              <a:srgbClr val="0070C0"/>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E5'!$C$6:$C$69</c:f>
              <c:numCache>
                <c:formatCode>0.0%</c:formatCode>
                <c:ptCount val="64"/>
                <c:pt idx="0">
                  <c:v>0.9681241655540721</c:v>
                </c:pt>
                <c:pt idx="1">
                  <c:v>0.95855457227138641</c:v>
                </c:pt>
                <c:pt idx="2">
                  <c:v>0.90909090909090906</c:v>
                </c:pt>
                <c:pt idx="3">
                  <c:v>0.91158629056718232</c:v>
                </c:pt>
                <c:pt idx="4">
                  <c:v>0.93068631464046936</c:v>
                </c:pt>
                <c:pt idx="5">
                  <c:v>0.94844544940644437</c:v>
                </c:pt>
                <c:pt idx="6">
                  <c:v>0.92616353668494111</c:v>
                </c:pt>
                <c:pt idx="7">
                  <c:v>0.96049001213994045</c:v>
                </c:pt>
                <c:pt idx="8">
                  <c:v>0.94735166118246472</c:v>
                </c:pt>
                <c:pt idx="9">
                  <c:v>0.91002793565167128</c:v>
                </c:pt>
                <c:pt idx="10">
                  <c:v>0.87862955892695671</c:v>
                </c:pt>
                <c:pt idx="11">
                  <c:v>0.90578684036627966</c:v>
                </c:pt>
                <c:pt idx="12">
                  <c:v>0.88767741329072281</c:v>
                </c:pt>
                <c:pt idx="13">
                  <c:v>0.82749889916336417</c:v>
                </c:pt>
                <c:pt idx="14">
                  <c:v>0.88097826086956521</c:v>
                </c:pt>
                <c:pt idx="15">
                  <c:v>0.8522777926361772</c:v>
                </c:pt>
                <c:pt idx="16">
                  <c:v>0.77251775258502553</c:v>
                </c:pt>
                <c:pt idx="17">
                  <c:v>0.63007373203247186</c:v>
                </c:pt>
                <c:pt idx="18">
                  <c:v>0.70116181578632175</c:v>
                </c:pt>
                <c:pt idx="19">
                  <c:v>0.65868568517575143</c:v>
                </c:pt>
                <c:pt idx="20">
                  <c:v>0.64384004134634021</c:v>
                </c:pt>
                <c:pt idx="21">
                  <c:v>0.68379733075668825</c:v>
                </c:pt>
                <c:pt idx="22">
                  <c:v>0.73704103671706267</c:v>
                </c:pt>
                <c:pt idx="23">
                  <c:v>0.76781917685235612</c:v>
                </c:pt>
                <c:pt idx="24">
                  <c:v>0.58988304861683249</c:v>
                </c:pt>
                <c:pt idx="25">
                  <c:v>0.54377864852969371</c:v>
                </c:pt>
                <c:pt idx="26">
                  <c:v>0.48510933425969471</c:v>
                </c:pt>
                <c:pt idx="27">
                  <c:v>0.42850574730320312</c:v>
                </c:pt>
                <c:pt idx="28">
                  <c:v>0.33283900305189751</c:v>
                </c:pt>
                <c:pt idx="29">
                  <c:v>0.37158693044938435</c:v>
                </c:pt>
                <c:pt idx="30">
                  <c:v>0.41171724932769882</c:v>
                </c:pt>
                <c:pt idx="31">
                  <c:v>0.41922039715616571</c:v>
                </c:pt>
                <c:pt idx="32">
                  <c:v>0.31934362934362936</c:v>
                </c:pt>
                <c:pt idx="33">
                  <c:v>0.4027143635068906</c:v>
                </c:pt>
                <c:pt idx="34">
                  <c:v>0.32401701586291892</c:v>
                </c:pt>
                <c:pt idx="35">
                  <c:v>0.41392858518547049</c:v>
                </c:pt>
                <c:pt idx="36">
                  <c:v>0.51402913887543322</c:v>
                </c:pt>
                <c:pt idx="37">
                  <c:v>0.46895441984118658</c:v>
                </c:pt>
                <c:pt idx="38">
                  <c:v>0.39063982291556865</c:v>
                </c:pt>
                <c:pt idx="39">
                  <c:v>0.43992488621534742</c:v>
                </c:pt>
                <c:pt idx="40">
                  <c:v>0.363791017692424</c:v>
                </c:pt>
                <c:pt idx="41">
                  <c:v>0.27290359854737539</c:v>
                </c:pt>
                <c:pt idx="42">
                  <c:v>0.37555939389181126</c:v>
                </c:pt>
                <c:pt idx="43">
                  <c:v>0.33126498915070995</c:v>
                </c:pt>
                <c:pt idx="44">
                  <c:v>0.33058344843032589</c:v>
                </c:pt>
                <c:pt idx="45">
                  <c:v>0.34314041304270015</c:v>
                </c:pt>
                <c:pt idx="46">
                  <c:v>0.35866024642401928</c:v>
                </c:pt>
                <c:pt idx="47">
                  <c:v>0.32367826898482593</c:v>
                </c:pt>
                <c:pt idx="48">
                  <c:v>0.33740112022134494</c:v>
                </c:pt>
                <c:pt idx="49">
                  <c:v>0.35585445288810691</c:v>
                </c:pt>
                <c:pt idx="50">
                  <c:v>0.31602369843241246</c:v>
                </c:pt>
                <c:pt idx="51">
                  <c:v>0.41806897009525706</c:v>
                </c:pt>
                <c:pt idx="52">
                  <c:v>0.40579032548102861</c:v>
                </c:pt>
                <c:pt idx="53">
                  <c:v>0.34810560913063893</c:v>
                </c:pt>
                <c:pt idx="54">
                  <c:v>0.37950294137087714</c:v>
                </c:pt>
                <c:pt idx="55">
                  <c:v>0.33745136850726914</c:v>
                </c:pt>
                <c:pt idx="56">
                  <c:v>0.36290670889720705</c:v>
                </c:pt>
                <c:pt idx="57">
                  <c:v>0.38786719109882711</c:v>
                </c:pt>
                <c:pt idx="58">
                  <c:v>0.40450434474197555</c:v>
                </c:pt>
                <c:pt idx="59">
                  <c:v>0.35993092779796382</c:v>
                </c:pt>
                <c:pt idx="60">
                  <c:v>0.46024065430565664</c:v>
                </c:pt>
                <c:pt idx="61">
                  <c:v>0.37109187109187108</c:v>
                </c:pt>
                <c:pt idx="62">
                  <c:v>0.3649451807006534</c:v>
                </c:pt>
                <c:pt idx="63">
                  <c:v>0.32688875669244499</c:v>
                </c:pt>
              </c:numCache>
            </c:numRef>
          </c:val>
          <c:extLst>
            <c:ext xmlns:c16="http://schemas.microsoft.com/office/drawing/2014/chart" uri="{C3380CC4-5D6E-409C-BE32-E72D297353CC}">
              <c16:uniqueId val="{00000002-8A60-4956-B9FE-F1E0A4FD125A}"/>
            </c:ext>
          </c:extLst>
        </c:ser>
        <c:ser>
          <c:idx val="4"/>
          <c:order val="1"/>
          <c:tx>
            <c:strRef>
              <c:f>'Table E5'!$D$3:$E$3</c:f>
              <c:strCache>
                <c:ptCount val="1"/>
                <c:pt idx="0">
                  <c:v>COAL</c:v>
                </c:pt>
              </c:strCache>
            </c:strRef>
          </c:tx>
          <c:spPr>
            <a:solidFill>
              <a:schemeClr val="accent2">
                <a:lumMod val="75000"/>
              </a:schemeClr>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E5'!$E$6:$E$69</c:f>
              <c:numCache>
                <c:formatCode>0.0%</c:formatCode>
                <c:ptCount val="64"/>
                <c:pt idx="0">
                  <c:v>0</c:v>
                </c:pt>
                <c:pt idx="1">
                  <c:v>3.8790560471976404E-2</c:v>
                </c:pt>
                <c:pt idx="2">
                  <c:v>4.1270741738760462E-2</c:v>
                </c:pt>
                <c:pt idx="3">
                  <c:v>4.3069457082195936E-2</c:v>
                </c:pt>
                <c:pt idx="4">
                  <c:v>3.9023059080365671E-2</c:v>
                </c:pt>
                <c:pt idx="5">
                  <c:v>3.2221594120972301E-2</c:v>
                </c:pt>
                <c:pt idx="6">
                  <c:v>3.6976554298378629E-2</c:v>
                </c:pt>
                <c:pt idx="7">
                  <c:v>3.4654011698488023E-2</c:v>
                </c:pt>
                <c:pt idx="8">
                  <c:v>4.6067296465343383E-2</c:v>
                </c:pt>
                <c:pt idx="9">
                  <c:v>7.0802427511800409E-2</c:v>
                </c:pt>
                <c:pt idx="10">
                  <c:v>9.7056163970662107E-2</c:v>
                </c:pt>
                <c:pt idx="11">
                  <c:v>8.5056169168318707E-2</c:v>
                </c:pt>
                <c:pt idx="12">
                  <c:v>0.1014193063257825</c:v>
                </c:pt>
                <c:pt idx="13">
                  <c:v>0.14343901365037429</c:v>
                </c:pt>
                <c:pt idx="14">
                  <c:v>0.10960144927536232</c:v>
                </c:pt>
                <c:pt idx="15">
                  <c:v>0.13764821253454579</c:v>
                </c:pt>
                <c:pt idx="16">
                  <c:v>0.22162700884514763</c:v>
                </c:pt>
                <c:pt idx="17">
                  <c:v>0.35659492068220749</c:v>
                </c:pt>
                <c:pt idx="18">
                  <c:v>0.29171158222541621</c:v>
                </c:pt>
                <c:pt idx="19">
                  <c:v>0.32564951604686704</c:v>
                </c:pt>
                <c:pt idx="20">
                  <c:v>0.3320627947541831</c:v>
                </c:pt>
                <c:pt idx="21">
                  <c:v>0.30478893652998368</c:v>
                </c:pt>
                <c:pt idx="22">
                  <c:v>0.26005669546436283</c:v>
                </c:pt>
                <c:pt idx="23">
                  <c:v>0.22925863887461859</c:v>
                </c:pt>
                <c:pt idx="24">
                  <c:v>0.40608266607315957</c:v>
                </c:pt>
                <c:pt idx="25">
                  <c:v>0.45226768242137766</c:v>
                </c:pt>
                <c:pt idx="26">
                  <c:v>0.5121666127819221</c:v>
                </c:pt>
                <c:pt idx="27">
                  <c:v>0.56789572453356463</c:v>
                </c:pt>
                <c:pt idx="28">
                  <c:v>0.66445667201643566</c:v>
                </c:pt>
                <c:pt idx="29">
                  <c:v>0.62558168119873347</c:v>
                </c:pt>
                <c:pt idx="30">
                  <c:v>0.58086822896657697</c:v>
                </c:pt>
                <c:pt idx="31">
                  <c:v>0.57552621440829332</c:v>
                </c:pt>
                <c:pt idx="32">
                  <c:v>0.67389961389961395</c:v>
                </c:pt>
                <c:pt idx="33">
                  <c:v>0.58991329116575209</c:v>
                </c:pt>
                <c:pt idx="34">
                  <c:v>0.66827018645887171</c:v>
                </c:pt>
                <c:pt idx="35">
                  <c:v>0.57524748661453717</c:v>
                </c:pt>
                <c:pt idx="36">
                  <c:v>0.46439616946752615</c:v>
                </c:pt>
                <c:pt idx="37">
                  <c:v>0.51128135166334343</c:v>
                </c:pt>
                <c:pt idx="38">
                  <c:v>0.58975440075893326</c:v>
                </c:pt>
                <c:pt idx="39">
                  <c:v>0.54085107737356375</c:v>
                </c:pt>
                <c:pt idx="40">
                  <c:v>0.61246786632390748</c:v>
                </c:pt>
                <c:pt idx="41">
                  <c:v>0.70303730604159786</c:v>
                </c:pt>
                <c:pt idx="42">
                  <c:v>0.60210410614744447</c:v>
                </c:pt>
                <c:pt idx="43">
                  <c:v>0.64901595035973958</c:v>
                </c:pt>
                <c:pt idx="44">
                  <c:v>0.64877375041994845</c:v>
                </c:pt>
                <c:pt idx="45">
                  <c:v>0.63792548051111353</c:v>
                </c:pt>
                <c:pt idx="46">
                  <c:v>0.60490723693527826</c:v>
                </c:pt>
                <c:pt idx="47">
                  <c:v>0.63450191835747127</c:v>
                </c:pt>
                <c:pt idx="48">
                  <c:v>0.61853534433309709</c:v>
                </c:pt>
                <c:pt idx="49">
                  <c:v>0.58440755437427472</c:v>
                </c:pt>
                <c:pt idx="50">
                  <c:v>0.62437091739115835</c:v>
                </c:pt>
                <c:pt idx="51">
                  <c:v>0.49971787978359722</c:v>
                </c:pt>
                <c:pt idx="52">
                  <c:v>0.50303902175867654</c:v>
                </c:pt>
                <c:pt idx="53">
                  <c:v>0.53743634196554335</c:v>
                </c:pt>
                <c:pt idx="54">
                  <c:v>0.51487209994051164</c:v>
                </c:pt>
                <c:pt idx="55">
                  <c:v>0.54648146884171733</c:v>
                </c:pt>
                <c:pt idx="56">
                  <c:v>0.51356896055283618</c:v>
                </c:pt>
                <c:pt idx="57">
                  <c:v>0.49126536976010771</c:v>
                </c:pt>
                <c:pt idx="58">
                  <c:v>0.47384287994325236</c:v>
                </c:pt>
                <c:pt idx="59">
                  <c:v>0.50728495880850455</c:v>
                </c:pt>
                <c:pt idx="60">
                  <c:v>0.36355072153470647</c:v>
                </c:pt>
                <c:pt idx="61">
                  <c:v>0.43594676928010262</c:v>
                </c:pt>
                <c:pt idx="62">
                  <c:v>0.43010077891395032</c:v>
                </c:pt>
                <c:pt idx="63">
                  <c:v>0.42954342653182631</c:v>
                </c:pt>
              </c:numCache>
            </c:numRef>
          </c:val>
          <c:extLst>
            <c:ext xmlns:c16="http://schemas.microsoft.com/office/drawing/2014/chart" uri="{C3380CC4-5D6E-409C-BE32-E72D297353CC}">
              <c16:uniqueId val="{00000004-8A60-4956-B9FE-F1E0A4FD125A}"/>
            </c:ext>
          </c:extLst>
        </c:ser>
        <c:ser>
          <c:idx val="6"/>
          <c:order val="2"/>
          <c:tx>
            <c:v>Pet Coke</c:v>
          </c:tx>
          <c:spPr>
            <a:solidFill>
              <a:schemeClr val="accent4"/>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E5'!$G$6:$G$69</c:f>
              <c:numCache>
                <c:formatCode>0.0%</c:formatCode>
                <c:ptCount val="64"/>
                <c:pt idx="0">
                  <c:v>0</c:v>
                </c:pt>
                <c:pt idx="1">
                  <c:v>0</c:v>
                </c:pt>
                <c:pt idx="2">
                  <c:v>1.4182385477237272E-4</c:v>
                </c:pt>
                <c:pt idx="3">
                  <c:v>0</c:v>
                </c:pt>
                <c:pt idx="4">
                  <c:v>2.7288852503752219E-4</c:v>
                </c:pt>
                <c:pt idx="5">
                  <c:v>0</c:v>
                </c:pt>
                <c:pt idx="6">
                  <c:v>5.0157471130292779E-3</c:v>
                </c:pt>
                <c:pt idx="7">
                  <c:v>3.3108928374351616E-4</c:v>
                </c:pt>
                <c:pt idx="8">
                  <c:v>1.0614584439019212E-3</c:v>
                </c:pt>
                <c:pt idx="9">
                  <c:v>5.0091513341681921E-3</c:v>
                </c:pt>
                <c:pt idx="10">
                  <c:v>1.4066110720385814E-3</c:v>
                </c:pt>
                <c:pt idx="11">
                  <c:v>9.440196356084207E-5</c:v>
                </c:pt>
                <c:pt idx="12">
                  <c:v>6.5795657486605885E-4</c:v>
                </c:pt>
                <c:pt idx="13">
                  <c:v>7.5957727873183622E-3</c:v>
                </c:pt>
                <c:pt idx="14">
                  <c:v>5.4347826086956522E-4</c:v>
                </c:pt>
                <c:pt idx="15">
                  <c:v>1.5155567442275118E-3</c:v>
                </c:pt>
                <c:pt idx="16">
                  <c:v>1.6818238445247291E-3</c:v>
                </c:pt>
                <c:pt idx="17">
                  <c:v>6.85186564385194E-3</c:v>
                </c:pt>
                <c:pt idx="18">
                  <c:v>2.0960594083123726E-3</c:v>
                </c:pt>
                <c:pt idx="19">
                  <c:v>3.6933265410086604E-3</c:v>
                </c:pt>
                <c:pt idx="20">
                  <c:v>1.4212804444731571E-3</c:v>
                </c:pt>
                <c:pt idx="21">
                  <c:v>7.8507156229240896E-4</c:v>
                </c:pt>
                <c:pt idx="22">
                  <c:v>6.7494600431965439E-4</c:v>
                </c:pt>
                <c:pt idx="23">
                  <c:v>6.6413278932392404E-4</c:v>
                </c:pt>
                <c:pt idx="24">
                  <c:v>1.9109772521089864E-3</c:v>
                </c:pt>
                <c:pt idx="25">
                  <c:v>8.5484736193054255E-4</c:v>
                </c:pt>
                <c:pt idx="26">
                  <c:v>4.01909452876214E-4</c:v>
                </c:pt>
                <c:pt idx="27">
                  <c:v>8.1566638366598499E-4</c:v>
                </c:pt>
                <c:pt idx="28">
                  <c:v>1.2108917604478841E-3</c:v>
                </c:pt>
                <c:pt idx="29">
                  <c:v>1.1635842541981526E-3</c:v>
                </c:pt>
                <c:pt idx="30">
                  <c:v>1.0756819054936612E-3</c:v>
                </c:pt>
                <c:pt idx="31">
                  <c:v>7.0045179140545651E-4</c:v>
                </c:pt>
                <c:pt idx="32">
                  <c:v>6.5637065637065637E-4</c:v>
                </c:pt>
                <c:pt idx="33">
                  <c:v>9.2154316591965815E-4</c:v>
                </c:pt>
                <c:pt idx="34">
                  <c:v>7.9513378125869679E-4</c:v>
                </c:pt>
                <c:pt idx="35">
                  <c:v>6.4712453295327609E-3</c:v>
                </c:pt>
                <c:pt idx="36">
                  <c:v>1.6581585125013974E-2</c:v>
                </c:pt>
                <c:pt idx="37">
                  <c:v>1.5286668765522791E-2</c:v>
                </c:pt>
                <c:pt idx="38">
                  <c:v>1.5002986542988652E-2</c:v>
                </c:pt>
                <c:pt idx="39">
                  <c:v>1.550017505331169E-2</c:v>
                </c:pt>
                <c:pt idx="40">
                  <c:v>1.9654128232269769E-2</c:v>
                </c:pt>
                <c:pt idx="41">
                  <c:v>2.0535407725321888E-2</c:v>
                </c:pt>
                <c:pt idx="42">
                  <c:v>1.8436798304153255E-2</c:v>
                </c:pt>
                <c:pt idx="43">
                  <c:v>1.5309452206022308E-2</c:v>
                </c:pt>
                <c:pt idx="44">
                  <c:v>1.6392437194370824E-2</c:v>
                </c:pt>
                <c:pt idx="45">
                  <c:v>1.4849350370449908E-2</c:v>
                </c:pt>
                <c:pt idx="46">
                  <c:v>1.4839399518481802E-2</c:v>
                </c:pt>
                <c:pt idx="47">
                  <c:v>1.6545470256817948E-2</c:v>
                </c:pt>
                <c:pt idx="48">
                  <c:v>1.4142794479873131E-2</c:v>
                </c:pt>
                <c:pt idx="49">
                  <c:v>1.8359338149964436E-2</c:v>
                </c:pt>
                <c:pt idx="50">
                  <c:v>1.3712228525393574E-2</c:v>
                </c:pt>
                <c:pt idx="51">
                  <c:v>1.5300872913140164E-2</c:v>
                </c:pt>
                <c:pt idx="52">
                  <c:v>1.679554037043697E-2</c:v>
                </c:pt>
                <c:pt idx="53">
                  <c:v>1.6686531585220502E-2</c:v>
                </c:pt>
                <c:pt idx="54">
                  <c:v>1.4145019498975477E-2</c:v>
                </c:pt>
                <c:pt idx="55">
                  <c:v>1.6927172206675313E-2</c:v>
                </c:pt>
                <c:pt idx="56">
                  <c:v>1.6556291390728478E-2</c:v>
                </c:pt>
                <c:pt idx="57">
                  <c:v>1.6264483894971829E-2</c:v>
                </c:pt>
                <c:pt idx="58">
                  <c:v>1.5818407519063663E-2</c:v>
                </c:pt>
                <c:pt idx="59">
                  <c:v>1.6728423930639998E-2</c:v>
                </c:pt>
                <c:pt idx="60">
                  <c:v>1.9569220228664412E-2</c:v>
                </c:pt>
                <c:pt idx="61">
                  <c:v>1.8077601410934743E-2</c:v>
                </c:pt>
                <c:pt idx="62">
                  <c:v>1.7165639189338847E-2</c:v>
                </c:pt>
                <c:pt idx="63">
                  <c:v>1.8255502676977991E-2</c:v>
                </c:pt>
              </c:numCache>
            </c:numRef>
          </c:val>
          <c:extLst>
            <c:ext xmlns:c16="http://schemas.microsoft.com/office/drawing/2014/chart" uri="{C3380CC4-5D6E-409C-BE32-E72D297353CC}">
              <c16:uniqueId val="{00000006-8A60-4956-B9FE-F1E0A4FD125A}"/>
            </c:ext>
          </c:extLst>
        </c:ser>
        <c:ser>
          <c:idx val="8"/>
          <c:order val="3"/>
          <c:tx>
            <c:strRef>
              <c:f>'Table E5'!$H$3:$I$3</c:f>
              <c:strCache>
                <c:ptCount val="1"/>
                <c:pt idx="0">
                  <c:v>NATURAL GAS</c:v>
                </c:pt>
              </c:strCache>
            </c:strRef>
          </c:tx>
          <c:spPr>
            <a:solidFill>
              <a:schemeClr val="accent6">
                <a:lumMod val="75000"/>
              </a:schemeClr>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E5'!$I$6:$I$69</c:f>
              <c:numCache>
                <c:formatCode>0.0%</c:formatCode>
                <c:ptCount val="64"/>
                <c:pt idx="0">
                  <c:v>0</c:v>
                </c:pt>
                <c:pt idx="1">
                  <c:v>2.8023598820058997E-3</c:v>
                </c:pt>
                <c:pt idx="2">
                  <c:v>4.9496525315558079E-2</c:v>
                </c:pt>
                <c:pt idx="3">
                  <c:v>4.5344252350621776E-2</c:v>
                </c:pt>
                <c:pt idx="4">
                  <c:v>3.001773775412744E-2</c:v>
                </c:pt>
                <c:pt idx="5">
                  <c:v>1.9332956472583381E-2</c:v>
                </c:pt>
                <c:pt idx="6">
                  <c:v>3.1844161903650997E-2</c:v>
                </c:pt>
                <c:pt idx="7">
                  <c:v>4.5248868778280547E-3</c:v>
                </c:pt>
                <c:pt idx="8">
                  <c:v>5.5195839082899907E-3</c:v>
                </c:pt>
                <c:pt idx="9">
                  <c:v>1.4160485502360081E-2</c:v>
                </c:pt>
                <c:pt idx="10">
                  <c:v>2.2907666030342611E-2</c:v>
                </c:pt>
                <c:pt idx="11">
                  <c:v>9.0625885018408379E-3</c:v>
                </c:pt>
                <c:pt idx="12">
                  <c:v>1.0151330012219193E-2</c:v>
                </c:pt>
                <c:pt idx="13">
                  <c:v>2.1466314398943198E-2</c:v>
                </c:pt>
                <c:pt idx="14">
                  <c:v>8.8768115942028988E-3</c:v>
                </c:pt>
                <c:pt idx="15">
                  <c:v>8.5584380850494777E-3</c:v>
                </c:pt>
                <c:pt idx="16">
                  <c:v>4.1734147253021051E-3</c:v>
                </c:pt>
                <c:pt idx="17">
                  <c:v>6.4794816414686825E-3</c:v>
                </c:pt>
                <c:pt idx="18">
                  <c:v>5.0305425799496949E-3</c:v>
                </c:pt>
                <c:pt idx="19">
                  <c:v>1.1971472236372899E-2</c:v>
                </c:pt>
                <c:pt idx="20">
                  <c:v>2.2675883455003553E-2</c:v>
                </c:pt>
                <c:pt idx="21">
                  <c:v>1.062866115103569E-2</c:v>
                </c:pt>
                <c:pt idx="22">
                  <c:v>2.2273218142548597E-3</c:v>
                </c:pt>
                <c:pt idx="23">
                  <c:v>2.2580514837013421E-3</c:v>
                </c:pt>
                <c:pt idx="24">
                  <c:v>2.1233080578988736E-3</c:v>
                </c:pt>
                <c:pt idx="25">
                  <c:v>3.0988216869982169E-3</c:v>
                </c:pt>
                <c:pt idx="26">
                  <c:v>2.3221435055070143E-3</c:v>
                </c:pt>
                <c:pt idx="27">
                  <c:v>2.7828617795663015E-3</c:v>
                </c:pt>
                <c:pt idx="28">
                  <c:v>1.4934331712190571E-3</c:v>
                </c:pt>
                <c:pt idx="29">
                  <c:v>1.6678040976840188E-3</c:v>
                </c:pt>
                <c:pt idx="30">
                  <c:v>2.1129466000768342E-3</c:v>
                </c:pt>
                <c:pt idx="31">
                  <c:v>1.1207228662487305E-3</c:v>
                </c:pt>
                <c:pt idx="32">
                  <c:v>1.3513513513513514E-3</c:v>
                </c:pt>
                <c:pt idx="33">
                  <c:v>1.4660914003267289E-3</c:v>
                </c:pt>
                <c:pt idx="34">
                  <c:v>2.9022383015942432E-3</c:v>
                </c:pt>
                <c:pt idx="35">
                  <c:v>1.8874465544470552E-3</c:v>
                </c:pt>
                <c:pt idx="36">
                  <c:v>2.0494093974736372E-3</c:v>
                </c:pt>
                <c:pt idx="37">
                  <c:v>1.7140658341204043E-3</c:v>
                </c:pt>
                <c:pt idx="38">
                  <c:v>1.9676047925231018E-3</c:v>
                </c:pt>
                <c:pt idx="39">
                  <c:v>1.1776313695534548E-3</c:v>
                </c:pt>
                <c:pt idx="40">
                  <c:v>1.0058596703462876E-3</c:v>
                </c:pt>
                <c:pt idx="41">
                  <c:v>8.2902773192472762E-4</c:v>
                </c:pt>
                <c:pt idx="42">
                  <c:v>6.5470675983355579E-4</c:v>
                </c:pt>
                <c:pt idx="43">
                  <c:v>9.6950778484144811E-4</c:v>
                </c:pt>
                <c:pt idx="44">
                  <c:v>1.0434506700511405E-3</c:v>
                </c:pt>
                <c:pt idx="45">
                  <c:v>9.6417194602526929E-4</c:v>
                </c:pt>
                <c:pt idx="46">
                  <c:v>2.3927205778218382E-3</c:v>
                </c:pt>
                <c:pt idx="47">
                  <c:v>3.6629912550551315E-3</c:v>
                </c:pt>
                <c:pt idx="48">
                  <c:v>2.2154401592603843E-3</c:v>
                </c:pt>
                <c:pt idx="49">
                  <c:v>2.9110171077752407E-3</c:v>
                </c:pt>
                <c:pt idx="50">
                  <c:v>1.9170890537410629E-3</c:v>
                </c:pt>
                <c:pt idx="51">
                  <c:v>1.3873676524278934E-2</c:v>
                </c:pt>
                <c:pt idx="52">
                  <c:v>1.6687646106815321E-2</c:v>
                </c:pt>
                <c:pt idx="53">
                  <c:v>2.2176472712825513E-2</c:v>
                </c:pt>
                <c:pt idx="54">
                  <c:v>1.7020292154141053E-2</c:v>
                </c:pt>
                <c:pt idx="55">
                  <c:v>2.0442290628626032E-2</c:v>
                </c:pt>
                <c:pt idx="56">
                  <c:v>1.7132162395623381E-2</c:v>
                </c:pt>
                <c:pt idx="57">
                  <c:v>1.4776230466673753E-2</c:v>
                </c:pt>
                <c:pt idx="58">
                  <c:v>1.6882425962050009E-2</c:v>
                </c:pt>
                <c:pt idx="59">
                  <c:v>1.8239378350181676E-2</c:v>
                </c:pt>
                <c:pt idx="60">
                  <c:v>1.2460925791118915E-2</c:v>
                </c:pt>
                <c:pt idx="61">
                  <c:v>2.1164021164021163E-2</c:v>
                </c:pt>
                <c:pt idx="62">
                  <c:v>2.6911292406511869E-2</c:v>
                </c:pt>
                <c:pt idx="63">
                  <c:v>3.7254610350981557E-2</c:v>
                </c:pt>
              </c:numCache>
            </c:numRef>
          </c:val>
          <c:extLst>
            <c:ext xmlns:c16="http://schemas.microsoft.com/office/drawing/2014/chart" uri="{C3380CC4-5D6E-409C-BE32-E72D297353CC}">
              <c16:uniqueId val="{00000008-8A60-4956-B9FE-F1E0A4FD125A}"/>
            </c:ext>
          </c:extLst>
        </c:ser>
        <c:ser>
          <c:idx val="10"/>
          <c:order val="4"/>
          <c:tx>
            <c:v>Wind</c:v>
          </c:tx>
          <c:spPr>
            <a:solidFill>
              <a:schemeClr val="accent3">
                <a:lumMod val="60000"/>
                <a:lumOff val="40000"/>
              </a:schemeClr>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E5'!$K$6:$K$69</c:f>
              <c:numCache>
                <c:formatCode>0.0%</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1.5435844781192467E-2</c:v>
                </c:pt>
                <c:pt idx="47">
                  <c:v>1.7136497182952543E-2</c:v>
                </c:pt>
                <c:pt idx="48">
                  <c:v>2.0013429159496575E-2</c:v>
                </c:pt>
                <c:pt idx="49">
                  <c:v>3.0731254445401115E-2</c:v>
                </c:pt>
                <c:pt idx="50">
                  <c:v>3.1225302943842098E-2</c:v>
                </c:pt>
                <c:pt idx="51">
                  <c:v>3.8700255567725446E-2</c:v>
                </c:pt>
                <c:pt idx="52">
                  <c:v>4.5387520230174429E-2</c:v>
                </c:pt>
                <c:pt idx="53">
                  <c:v>6.3387149203597351E-2</c:v>
                </c:pt>
                <c:pt idx="54">
                  <c:v>6.5238945072377555E-2</c:v>
                </c:pt>
                <c:pt idx="55">
                  <c:v>6.7060268923622962E-2</c:v>
                </c:pt>
                <c:pt idx="56">
                  <c:v>7.7022746904693351E-2</c:v>
                </c:pt>
                <c:pt idx="57">
                  <c:v>7.6361574713865565E-2</c:v>
                </c:pt>
                <c:pt idx="58">
                  <c:v>7.6361056924986695E-2</c:v>
                </c:pt>
                <c:pt idx="59">
                  <c:v>8.5368924704104759E-2</c:v>
                </c:pt>
                <c:pt idx="60">
                  <c:v>0.13098959448464864</c:v>
                </c:pt>
                <c:pt idx="61">
                  <c:v>0.13920955587622255</c:v>
                </c:pt>
                <c:pt idx="62">
                  <c:v>0.14847355014950717</c:v>
                </c:pt>
                <c:pt idx="63">
                  <c:v>0.1694303985722784</c:v>
                </c:pt>
              </c:numCache>
            </c:numRef>
          </c:val>
          <c:extLst>
            <c:ext xmlns:c16="http://schemas.microsoft.com/office/drawing/2014/chart" uri="{C3380CC4-5D6E-409C-BE32-E72D297353CC}">
              <c16:uniqueId val="{0000000A-8A60-4956-B9FE-F1E0A4FD125A}"/>
            </c:ext>
          </c:extLst>
        </c:ser>
        <c:ser>
          <c:idx val="12"/>
          <c:order val="5"/>
          <c:tx>
            <c:v>Solar</c:v>
          </c:tx>
          <c:spPr>
            <a:solidFill>
              <a:srgbClr val="FFFF00"/>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E5'!$M$6:$M$69</c:f>
              <c:numCache>
                <c:formatCode>0.0%</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2.8793550244745177E-4</c:v>
                </c:pt>
                <c:pt idx="57">
                  <c:v>4.9608447609935866E-4</c:v>
                </c:pt>
                <c:pt idx="58">
                  <c:v>1.2058875687178579E-3</c:v>
                </c:pt>
                <c:pt idx="59">
                  <c:v>1.0432780515883008E-3</c:v>
                </c:pt>
                <c:pt idx="60">
                  <c:v>1.4130946773433821E-3</c:v>
                </c:pt>
                <c:pt idx="61">
                  <c:v>1.3227513227513227E-3</c:v>
                </c:pt>
                <c:pt idx="62">
                  <c:v>1.1812912990512754E-3</c:v>
                </c:pt>
                <c:pt idx="63">
                  <c:v>8.92325996430696E-3</c:v>
                </c:pt>
              </c:numCache>
            </c:numRef>
          </c:val>
          <c:extLst>
            <c:ext xmlns:c16="http://schemas.microsoft.com/office/drawing/2014/chart" uri="{C3380CC4-5D6E-409C-BE32-E72D297353CC}">
              <c16:uniqueId val="{0000000C-8A60-4956-B9FE-F1E0A4FD125A}"/>
            </c:ext>
          </c:extLst>
        </c:ser>
        <c:ser>
          <c:idx val="14"/>
          <c:order val="6"/>
          <c:tx>
            <c:v>Other</c:v>
          </c:tx>
          <c:spPr>
            <a:solidFill>
              <a:schemeClr val="bg1">
                <a:lumMod val="65000"/>
              </a:schemeClr>
            </a:solidFill>
            <a:ln w="25400">
              <a:noFill/>
            </a:ln>
            <a:effectLst/>
          </c:spPr>
          <c:cat>
            <c:numRef>
              <c:f>'Table E5'!$A$6:$A$69</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E5'!$O$6:$O$69</c:f>
              <c:numCache>
                <c:formatCode>0.0%</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4.1874759892431808E-3</c:v>
                </c:pt>
                <c:pt idx="31">
                  <c:v>3.46723636745701E-3</c:v>
                </c:pt>
                <c:pt idx="32">
                  <c:v>4.7490347490347492E-3</c:v>
                </c:pt>
                <c:pt idx="33">
                  <c:v>4.9847107611108782E-3</c:v>
                </c:pt>
                <c:pt idx="34">
                  <c:v>3.9756689062934837E-3</c:v>
                </c:pt>
                <c:pt idx="35">
                  <c:v>2.5037556334501754E-3</c:v>
                </c:pt>
                <c:pt idx="36">
                  <c:v>2.9809591235980177E-3</c:v>
                </c:pt>
                <c:pt idx="37">
                  <c:v>2.7634938958267744E-3</c:v>
                </c:pt>
                <c:pt idx="38">
                  <c:v>2.635184989986297E-3</c:v>
                </c:pt>
                <c:pt idx="39">
                  <c:v>2.5780578630764826E-3</c:v>
                </c:pt>
                <c:pt idx="40">
                  <c:v>3.0621503099954634E-3</c:v>
                </c:pt>
                <c:pt idx="41">
                  <c:v>2.6824034334763948E-3</c:v>
                </c:pt>
                <c:pt idx="42">
                  <c:v>3.2582240716024181E-3</c:v>
                </c:pt>
                <c:pt idx="43">
                  <c:v>3.46415927519129E-3</c:v>
                </c:pt>
                <c:pt idx="44">
                  <c:v>3.1729441188547538E-3</c:v>
                </c:pt>
                <c:pt idx="45">
                  <c:v>3.0781345073195177E-3</c:v>
                </c:pt>
                <c:pt idx="46">
                  <c:v>3.7530094887409716E-3</c:v>
                </c:pt>
                <c:pt idx="47">
                  <c:v>4.4934499325982513E-3</c:v>
                </c:pt>
                <c:pt idx="48">
                  <c:v>7.6930863447717381E-3</c:v>
                </c:pt>
                <c:pt idx="49">
                  <c:v>7.7116010931007374E-3</c:v>
                </c:pt>
                <c:pt idx="50">
                  <c:v>1.2755530193682656E-2</c:v>
                </c:pt>
                <c:pt idx="51">
                  <c:v>1.1052474360250921E-2</c:v>
                </c:pt>
                <c:pt idx="52">
                  <c:v>1.2263981298327639E-2</c:v>
                </c:pt>
                <c:pt idx="53">
                  <c:v>1.2207895402174306E-2</c:v>
                </c:pt>
                <c:pt idx="54">
                  <c:v>9.1876528521382776E-3</c:v>
                </c:pt>
                <c:pt idx="55">
                  <c:v>1.1637430892089276E-2</c:v>
                </c:pt>
                <c:pt idx="56">
                  <c:v>1.2813129858911605E-2</c:v>
                </c:pt>
                <c:pt idx="57">
                  <c:v>1.300450019489033E-2</c:v>
                </c:pt>
                <c:pt idx="58">
                  <c:v>1.1562333747118283E-2</c:v>
                </c:pt>
                <c:pt idx="59">
                  <c:v>1.032485520020146E-2</c:v>
                </c:pt>
                <c:pt idx="60">
                  <c:v>1.1818610028690104E-2</c:v>
                </c:pt>
                <c:pt idx="61">
                  <c:v>1.3147346480679814E-2</c:v>
                </c:pt>
                <c:pt idx="62">
                  <c:v>1.0557790985270774E-2</c:v>
                </c:pt>
                <c:pt idx="63">
                  <c:v>1.3198988697204045E-2</c:v>
                </c:pt>
              </c:numCache>
            </c:numRef>
          </c:val>
          <c:extLst>
            <c:ext xmlns:c16="http://schemas.microsoft.com/office/drawing/2014/chart" uri="{C3380CC4-5D6E-409C-BE32-E72D297353CC}">
              <c16:uniqueId val="{0000000E-8A60-4956-B9FE-F1E0A4FD125A}"/>
            </c:ext>
          </c:extLst>
        </c:ser>
        <c:dLbls>
          <c:showLegendKey val="0"/>
          <c:showVal val="0"/>
          <c:showCatName val="0"/>
          <c:showSerName val="0"/>
          <c:showPercent val="0"/>
          <c:showBubbleSize val="0"/>
        </c:dLbls>
        <c:axId val="658860808"/>
        <c:axId val="662094960"/>
      </c:areaChart>
      <c:catAx>
        <c:axId val="658860808"/>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094960"/>
        <c:crosses val="autoZero"/>
        <c:auto val="1"/>
        <c:lblAlgn val="ctr"/>
        <c:lblOffset val="100"/>
        <c:noMultiLvlLbl val="0"/>
      </c:catAx>
      <c:valAx>
        <c:axId val="6620949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860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Montana Sales of Electricity by Sector, 1960-2023</a:t>
            </a:r>
          </a:p>
          <a:p>
            <a:pPr>
              <a:defRPr/>
            </a:pPr>
            <a:r>
              <a:rPr lang="en-US"/>
              <a:t>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E6'!$B$6:$B$69</c:f>
              <c:numCache>
                <c:formatCode>0</c:formatCode>
                <c:ptCount val="64"/>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pt idx="57" formatCode="#,##0">
                  <c:v>5225</c:v>
                </c:pt>
                <c:pt idx="58" formatCode="#,##0">
                  <c:v>5198</c:v>
                </c:pt>
                <c:pt idx="59" formatCode="#,##0">
                  <c:v>5308</c:v>
                </c:pt>
                <c:pt idx="60" formatCode="#,##0">
                  <c:v>5380</c:v>
                </c:pt>
                <c:pt idx="61" formatCode="#,##0">
                  <c:v>5559</c:v>
                </c:pt>
                <c:pt idx="62" formatCode="#,##0">
                  <c:v>5865</c:v>
                </c:pt>
                <c:pt idx="63" formatCode="#,##0">
                  <c:v>5755.5219999999999</c:v>
                </c:pt>
              </c:numCache>
            </c:numRef>
          </c:val>
          <c:smooth val="0"/>
          <c:extLst>
            <c:ext xmlns:c16="http://schemas.microsoft.com/office/drawing/2014/chart" uri="{C3380CC4-5D6E-409C-BE32-E72D297353CC}">
              <c16:uniqueId val="{00000000-7DC9-4C7F-8B8E-F9FA3FE39C60}"/>
            </c:ext>
          </c:extLst>
        </c:ser>
        <c:ser>
          <c:idx val="1"/>
          <c:order val="1"/>
          <c:tx>
            <c:v>Commercial</c:v>
          </c:tx>
          <c:marker>
            <c:symbol val="none"/>
          </c:marker>
          <c:cat>
            <c:strRef>
              <c:f>'Table E6'!$A$6:$A$69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E6'!$C$6:$C$69</c:f>
              <c:numCache>
                <c:formatCode>0</c:formatCode>
                <c:ptCount val="64"/>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pt idx="57" formatCode="#,##0">
                  <c:v>4970</c:v>
                </c:pt>
                <c:pt idx="58" formatCode="#,##0">
                  <c:v>4921</c:v>
                </c:pt>
                <c:pt idx="59" formatCode="#,##0">
                  <c:v>4956</c:v>
                </c:pt>
                <c:pt idx="60" formatCode="#,##0">
                  <c:v>4702</c:v>
                </c:pt>
                <c:pt idx="61" formatCode="#,##0">
                  <c:v>4906</c:v>
                </c:pt>
                <c:pt idx="62" formatCode="#,##0">
                  <c:v>5044</c:v>
                </c:pt>
                <c:pt idx="63" formatCode="#,##0">
                  <c:v>5063.0349999999999</c:v>
                </c:pt>
              </c:numCache>
            </c:numRef>
          </c:val>
          <c:smooth val="0"/>
          <c:extLst>
            <c:ext xmlns:c16="http://schemas.microsoft.com/office/drawing/2014/chart" uri="{C3380CC4-5D6E-409C-BE32-E72D297353CC}">
              <c16:uniqueId val="{00000001-7DC9-4C7F-8B8E-F9FA3FE39C60}"/>
            </c:ext>
          </c:extLst>
        </c:ser>
        <c:ser>
          <c:idx val="2"/>
          <c:order val="2"/>
          <c:tx>
            <c:v>Industrial</c:v>
          </c:tx>
          <c:marker>
            <c:symbol val="none"/>
          </c:marker>
          <c:cat>
            <c:strRef>
              <c:f>'Table E6'!$A$6:$A$69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E6'!$D$6:$D$69</c:f>
              <c:numCache>
                <c:formatCode>#,##0</c:formatCode>
                <c:ptCount val="64"/>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pt idx="57">
                  <c:v>4515</c:v>
                </c:pt>
                <c:pt idx="58">
                  <c:v>4720</c:v>
                </c:pt>
                <c:pt idx="59">
                  <c:v>5057</c:v>
                </c:pt>
                <c:pt idx="60">
                  <c:v>4502</c:v>
                </c:pt>
                <c:pt idx="61">
                  <c:v>4496</c:v>
                </c:pt>
                <c:pt idx="62">
                  <c:v>4658</c:v>
                </c:pt>
                <c:pt idx="63">
                  <c:v>4686.1419999999998</c:v>
                </c:pt>
              </c:numCache>
            </c:numRef>
          </c:val>
          <c:smooth val="0"/>
          <c:extLst>
            <c:ext xmlns:c16="http://schemas.microsoft.com/office/drawing/2014/chart" uri="{C3380CC4-5D6E-409C-BE32-E72D297353CC}">
              <c16:uniqueId val="{00000002-7DC9-4C7F-8B8E-F9FA3FE39C60}"/>
            </c:ext>
          </c:extLst>
        </c:ser>
        <c:ser>
          <c:idx val="3"/>
          <c:order val="3"/>
          <c:tx>
            <c:v>Total</c:v>
          </c:tx>
          <c:marker>
            <c:symbol val="none"/>
          </c:marker>
          <c:cat>
            <c:strRef>
              <c:f>'Table E6'!$A$6:$A$69</c:f>
              <c:strCach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strCache>
            </c:strRef>
          </c:cat>
          <c:val>
            <c:numRef>
              <c:f>'Table E6'!$F$6:$F$69</c:f>
              <c:numCache>
                <c:formatCode>#,##0</c:formatCode>
                <c:ptCount val="64"/>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pt idx="61">
                  <c:v>14962</c:v>
                </c:pt>
                <c:pt idx="62">
                  <c:v>15567</c:v>
                </c:pt>
                <c:pt idx="63">
                  <c:v>15504.699000000001</c:v>
                </c:pt>
              </c:numCache>
            </c:numRef>
          </c:val>
          <c:smooth val="0"/>
          <c:extLst>
            <c:ext xmlns:c16="http://schemas.microsoft.com/office/drawing/2014/chart" uri="{C3380CC4-5D6E-409C-BE32-E72D297353CC}">
              <c16:uniqueId val="{00000003-7DC9-4C7F-8B8E-F9FA3FE39C60}"/>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1990-2023 (cents per kWh)</a:t>
            </a:r>
          </a:p>
        </c:rich>
      </c:tx>
      <c:overlay val="0"/>
    </c:title>
    <c:autoTitleDeleted val="0"/>
    <c:plotArea>
      <c:layout/>
      <c:lineChart>
        <c:grouping val="standard"/>
        <c:varyColors val="0"/>
        <c:ser>
          <c:idx val="0"/>
          <c:order val="0"/>
          <c:tx>
            <c:v>Montana Electricity Retail Price</c:v>
          </c:tx>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E7'!$E$36:$E$69</c:f>
              <c:numCache>
                <c:formatCode>0.00</c:formatCode>
                <c:ptCount val="34"/>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pt idx="29">
                  <c:v>9.02</c:v>
                </c:pt>
                <c:pt idx="30">
                  <c:v>9.1300000000000008</c:v>
                </c:pt>
                <c:pt idx="31">
                  <c:v>9.5</c:v>
                </c:pt>
                <c:pt idx="32">
                  <c:v>9.9700000000000006</c:v>
                </c:pt>
                <c:pt idx="33">
                  <c:v>10.97</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E7'!$F$36:$F$69</c:f>
              <c:numCache>
                <c:formatCode>0.00</c:formatCode>
                <c:ptCount val="34"/>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pt idx="26">
                  <c:v>10.27</c:v>
                </c:pt>
                <c:pt idx="27">
                  <c:v>10.48</c:v>
                </c:pt>
                <c:pt idx="28">
                  <c:v>10.53</c:v>
                </c:pt>
                <c:pt idx="29">
                  <c:v>10.54</c:v>
                </c:pt>
                <c:pt idx="30">
                  <c:v>10.59</c:v>
                </c:pt>
                <c:pt idx="31">
                  <c:v>11.1</c:v>
                </c:pt>
                <c:pt idx="32">
                  <c:v>12.49</c:v>
                </c:pt>
                <c:pt idx="33">
                  <c:v>12.68</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Retail Electrical</a:t>
            </a:r>
            <a:r>
              <a:rPr lang="en-US" baseline="0"/>
              <a:t> Prices by Consumer Type, 1990-2023 (cents per kWh)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'Table E7'!$B$4</c:f>
              <c:strCache>
                <c:ptCount val="1"/>
                <c:pt idx="0">
                  <c:v>Residential</c:v>
                </c:pt>
              </c:strCache>
            </c:strRef>
          </c:tx>
          <c:spPr>
            <a:ln w="28575" cap="rnd">
              <a:solidFill>
                <a:schemeClr val="accent1"/>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E7'!$B$36:$B$69</c:f>
              <c:numCache>
                <c:formatCode>0.00</c:formatCode>
                <c:ptCount val="34"/>
                <c:pt idx="0">
                  <c:v>5.45</c:v>
                </c:pt>
                <c:pt idx="1">
                  <c:v>5.76</c:v>
                </c:pt>
                <c:pt idx="2">
                  <c:v>5.84</c:v>
                </c:pt>
                <c:pt idx="3">
                  <c:v>5.77</c:v>
                </c:pt>
                <c:pt idx="4">
                  <c:v>5.96</c:v>
                </c:pt>
                <c:pt idx="5">
                  <c:v>6.09</c:v>
                </c:pt>
                <c:pt idx="6">
                  <c:v>6.22</c:v>
                </c:pt>
                <c:pt idx="7">
                  <c:v>6.4</c:v>
                </c:pt>
                <c:pt idx="8">
                  <c:v>6.5</c:v>
                </c:pt>
                <c:pt idx="9">
                  <c:v>6.78</c:v>
                </c:pt>
                <c:pt idx="10">
                  <c:v>6.49</c:v>
                </c:pt>
                <c:pt idx="11">
                  <c:v>6.88</c:v>
                </c:pt>
                <c:pt idx="12">
                  <c:v>7.23</c:v>
                </c:pt>
                <c:pt idx="13">
                  <c:v>7.56</c:v>
                </c:pt>
                <c:pt idx="14">
                  <c:v>7.86</c:v>
                </c:pt>
                <c:pt idx="15">
                  <c:v>8.1</c:v>
                </c:pt>
                <c:pt idx="16">
                  <c:v>8.2799999999999994</c:v>
                </c:pt>
                <c:pt idx="17">
                  <c:v>8.77</c:v>
                </c:pt>
                <c:pt idx="18">
                  <c:v>9.1300000000000008</c:v>
                </c:pt>
                <c:pt idx="19">
                  <c:v>8.93</c:v>
                </c:pt>
                <c:pt idx="20">
                  <c:v>9.16</c:v>
                </c:pt>
                <c:pt idx="21">
                  <c:v>9.75</c:v>
                </c:pt>
                <c:pt idx="22">
                  <c:v>10.08</c:v>
                </c:pt>
                <c:pt idx="23">
                  <c:v>10.33</c:v>
                </c:pt>
                <c:pt idx="24">
                  <c:v>10.18</c:v>
                </c:pt>
                <c:pt idx="25">
                  <c:v>10.88</c:v>
                </c:pt>
                <c:pt idx="26">
                  <c:v>10.94</c:v>
                </c:pt>
                <c:pt idx="27">
                  <c:v>10.95</c:v>
                </c:pt>
                <c:pt idx="28">
                  <c:v>10.96</c:v>
                </c:pt>
                <c:pt idx="29">
                  <c:v>11.13</c:v>
                </c:pt>
                <c:pt idx="30">
                  <c:v>11.24</c:v>
                </c:pt>
                <c:pt idx="31">
                  <c:v>11.22</c:v>
                </c:pt>
                <c:pt idx="32">
                  <c:v>11.37</c:v>
                </c:pt>
                <c:pt idx="33" formatCode="#,##0.00">
                  <c:v>12.54</c:v>
                </c:pt>
              </c:numCache>
            </c:numRef>
          </c:val>
          <c:smooth val="0"/>
          <c:extLst>
            <c:ext xmlns:c16="http://schemas.microsoft.com/office/drawing/2014/chart" uri="{C3380CC4-5D6E-409C-BE32-E72D297353CC}">
              <c16:uniqueId val="{00000000-D8C5-41DB-9390-2C1EAB703871}"/>
            </c:ext>
          </c:extLst>
        </c:ser>
        <c:ser>
          <c:idx val="1"/>
          <c:order val="1"/>
          <c:tx>
            <c:strRef>
              <c:f>'Table E7'!$C$4</c:f>
              <c:strCache>
                <c:ptCount val="1"/>
                <c:pt idx="0">
                  <c:v>Commercial</c:v>
                </c:pt>
              </c:strCache>
            </c:strRef>
          </c:tx>
          <c:spPr>
            <a:ln w="28575" cap="rnd">
              <a:solidFill>
                <a:schemeClr val="accent2"/>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E7'!$C$36:$C$69</c:f>
              <c:numCache>
                <c:formatCode>0.00</c:formatCode>
                <c:ptCount val="34"/>
                <c:pt idx="0">
                  <c:v>4.68</c:v>
                </c:pt>
                <c:pt idx="1">
                  <c:v>5</c:v>
                </c:pt>
                <c:pt idx="2">
                  <c:v>5.17</c:v>
                </c:pt>
                <c:pt idx="3">
                  <c:v>5.0999999999999996</c:v>
                </c:pt>
                <c:pt idx="4">
                  <c:v>5.17</c:v>
                </c:pt>
                <c:pt idx="5">
                  <c:v>5.31</c:v>
                </c:pt>
                <c:pt idx="6">
                  <c:v>5.51</c:v>
                </c:pt>
                <c:pt idx="7">
                  <c:v>5.8</c:v>
                </c:pt>
                <c:pt idx="8">
                  <c:v>5.87</c:v>
                </c:pt>
                <c:pt idx="9">
                  <c:v>6.35</c:v>
                </c:pt>
                <c:pt idx="10">
                  <c:v>5.6</c:v>
                </c:pt>
                <c:pt idx="11">
                  <c:v>5.91</c:v>
                </c:pt>
                <c:pt idx="12">
                  <c:v>6.28</c:v>
                </c:pt>
                <c:pt idx="13">
                  <c:v>6.85</c:v>
                </c:pt>
                <c:pt idx="14">
                  <c:v>7.42</c:v>
                </c:pt>
                <c:pt idx="15">
                  <c:v>7.43</c:v>
                </c:pt>
                <c:pt idx="16">
                  <c:v>7.44</c:v>
                </c:pt>
                <c:pt idx="17">
                  <c:v>8.1</c:v>
                </c:pt>
                <c:pt idx="18">
                  <c:v>8.5399999999999991</c:v>
                </c:pt>
                <c:pt idx="19">
                  <c:v>8.32</c:v>
                </c:pt>
                <c:pt idx="20">
                  <c:v>8.5500000000000007</c:v>
                </c:pt>
                <c:pt idx="21">
                  <c:v>9.1199999999999992</c:v>
                </c:pt>
                <c:pt idx="22">
                  <c:v>9.1300000000000008</c:v>
                </c:pt>
                <c:pt idx="23">
                  <c:v>9.5399999999999991</c:v>
                </c:pt>
                <c:pt idx="24">
                  <c:v>9.64</c:v>
                </c:pt>
                <c:pt idx="25">
                  <c:v>10.23</c:v>
                </c:pt>
                <c:pt idx="26">
                  <c:v>10.19</c:v>
                </c:pt>
                <c:pt idx="27">
                  <c:v>10.119999999999999</c:v>
                </c:pt>
                <c:pt idx="28">
                  <c:v>10.11</c:v>
                </c:pt>
                <c:pt idx="29">
                  <c:v>10.41</c:v>
                </c:pt>
                <c:pt idx="30">
                  <c:v>10.51</c:v>
                </c:pt>
                <c:pt idx="31">
                  <c:v>10.54</c:v>
                </c:pt>
                <c:pt idx="32">
                  <c:v>10.7</c:v>
                </c:pt>
                <c:pt idx="33" formatCode="#,##0.00">
                  <c:v>12.11</c:v>
                </c:pt>
              </c:numCache>
            </c:numRef>
          </c:val>
          <c:smooth val="0"/>
          <c:extLst>
            <c:ext xmlns:c16="http://schemas.microsoft.com/office/drawing/2014/chart" uri="{C3380CC4-5D6E-409C-BE32-E72D297353CC}">
              <c16:uniqueId val="{00000001-D8C5-41DB-9390-2C1EAB703871}"/>
            </c:ext>
          </c:extLst>
        </c:ser>
        <c:ser>
          <c:idx val="2"/>
          <c:order val="2"/>
          <c:tx>
            <c:strRef>
              <c:f>'Table E7'!$D$4</c:f>
              <c:strCache>
                <c:ptCount val="1"/>
                <c:pt idx="0">
                  <c:v>Industrial</c:v>
                </c:pt>
              </c:strCache>
            </c:strRef>
          </c:tx>
          <c:spPr>
            <a:ln w="28575" cap="rnd">
              <a:solidFill>
                <a:schemeClr val="accent3"/>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E7'!$D$36:$D$69</c:f>
              <c:numCache>
                <c:formatCode>0.00</c:formatCode>
                <c:ptCount val="34"/>
                <c:pt idx="0">
                  <c:v>2.87</c:v>
                </c:pt>
                <c:pt idx="1">
                  <c:v>2.92</c:v>
                </c:pt>
                <c:pt idx="2">
                  <c:v>2.89</c:v>
                </c:pt>
                <c:pt idx="3">
                  <c:v>3.1</c:v>
                </c:pt>
                <c:pt idx="4">
                  <c:v>3.3</c:v>
                </c:pt>
                <c:pt idx="5">
                  <c:v>3.44</c:v>
                </c:pt>
                <c:pt idx="6">
                  <c:v>3.3</c:v>
                </c:pt>
                <c:pt idx="7">
                  <c:v>3.66</c:v>
                </c:pt>
                <c:pt idx="8">
                  <c:v>3.19</c:v>
                </c:pt>
                <c:pt idx="9">
                  <c:v>2.74</c:v>
                </c:pt>
                <c:pt idx="10">
                  <c:v>3.97</c:v>
                </c:pt>
                <c:pt idx="11">
                  <c:v>6.59</c:v>
                </c:pt>
                <c:pt idx="12">
                  <c:v>3.71</c:v>
                </c:pt>
                <c:pt idx="13">
                  <c:v>4.03</c:v>
                </c:pt>
                <c:pt idx="14">
                  <c:v>4.1500000000000004</c:v>
                </c:pt>
                <c:pt idx="15">
                  <c:v>4.83</c:v>
                </c:pt>
                <c:pt idx="16">
                  <c:v>5.12</c:v>
                </c:pt>
                <c:pt idx="17">
                  <c:v>5.16</c:v>
                </c:pt>
                <c:pt idx="18">
                  <c:v>5.9</c:v>
                </c:pt>
                <c:pt idx="19">
                  <c:v>5.45</c:v>
                </c:pt>
                <c:pt idx="20">
                  <c:v>5.49</c:v>
                </c:pt>
                <c:pt idx="21">
                  <c:v>5.27</c:v>
                </c:pt>
                <c:pt idx="22">
                  <c:v>5.0999999999999996</c:v>
                </c:pt>
                <c:pt idx="23">
                  <c:v>5.43</c:v>
                </c:pt>
                <c:pt idx="24">
                  <c:v>5.49</c:v>
                </c:pt>
                <c:pt idx="25">
                  <c:v>5.32</c:v>
                </c:pt>
                <c:pt idx="26">
                  <c:v>5.0599999999999996</c:v>
                </c:pt>
                <c:pt idx="27">
                  <c:v>5.25</c:v>
                </c:pt>
                <c:pt idx="28">
                  <c:v>5.19</c:v>
                </c:pt>
                <c:pt idx="29">
                  <c:v>5.45</c:v>
                </c:pt>
                <c:pt idx="30">
                  <c:v>5.18</c:v>
                </c:pt>
                <c:pt idx="31">
                  <c:v>6.24</c:v>
                </c:pt>
                <c:pt idx="32">
                  <c:v>7.43</c:v>
                </c:pt>
                <c:pt idx="33" formatCode="#,##0.00">
                  <c:v>7.8</c:v>
                </c:pt>
              </c:numCache>
            </c:numRef>
          </c:val>
          <c:smooth val="0"/>
          <c:extLst>
            <c:ext xmlns:c16="http://schemas.microsoft.com/office/drawing/2014/chart" uri="{C3380CC4-5D6E-409C-BE32-E72D297353CC}">
              <c16:uniqueId val="{00000002-D8C5-41DB-9390-2C1EAB703871}"/>
            </c:ext>
          </c:extLst>
        </c:ser>
        <c:ser>
          <c:idx val="3"/>
          <c:order val="3"/>
          <c:tx>
            <c:strRef>
              <c:f>'Table E7'!$E$4</c:f>
              <c:strCache>
                <c:ptCount val="1"/>
                <c:pt idx="0">
                  <c:v>All Montana
Sales</c:v>
                </c:pt>
              </c:strCache>
            </c:strRef>
          </c:tx>
          <c:spPr>
            <a:ln w="28575" cap="rnd">
              <a:solidFill>
                <a:schemeClr val="accent4"/>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E7'!$E$36:$E$69</c:f>
              <c:numCache>
                <c:formatCode>0.00</c:formatCode>
                <c:ptCount val="34"/>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pt idx="29">
                  <c:v>9.02</c:v>
                </c:pt>
                <c:pt idx="30">
                  <c:v>9.1300000000000008</c:v>
                </c:pt>
                <c:pt idx="31">
                  <c:v>9.5</c:v>
                </c:pt>
                <c:pt idx="32">
                  <c:v>9.9700000000000006</c:v>
                </c:pt>
                <c:pt idx="33">
                  <c:v>10.97</c:v>
                </c:pt>
              </c:numCache>
            </c:numRef>
          </c:val>
          <c:smooth val="0"/>
          <c:extLst>
            <c:ext xmlns:c16="http://schemas.microsoft.com/office/drawing/2014/chart" uri="{C3380CC4-5D6E-409C-BE32-E72D297353CC}">
              <c16:uniqueId val="{00000003-D8C5-41DB-9390-2C1EAB703871}"/>
            </c:ext>
          </c:extLst>
        </c:ser>
        <c:dLbls>
          <c:showLegendKey val="0"/>
          <c:showVal val="0"/>
          <c:showCatName val="0"/>
          <c:showSerName val="0"/>
          <c:showPercent val="0"/>
          <c:showBubbleSize val="0"/>
        </c:dLbls>
        <c:smooth val="0"/>
        <c:axId val="846489455"/>
        <c:axId val="846489935"/>
      </c:lineChart>
      <c:catAx>
        <c:axId val="846489455"/>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489935"/>
        <c:crosses val="autoZero"/>
        <c:auto val="1"/>
        <c:lblAlgn val="ctr"/>
        <c:lblOffset val="100"/>
        <c:noMultiLvlLbl val="0"/>
      </c:catAx>
      <c:valAx>
        <c:axId val="8464899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489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Retail</a:t>
            </a:r>
            <a:r>
              <a:rPr lang="en-US" baseline="0"/>
              <a:t> Electrical Prices by Consumer Type, 1990-2023 (2023 cents per kWh)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'Table E7'!$H$4</c:f>
              <c:strCache>
                <c:ptCount val="1"/>
                <c:pt idx="0">
                  <c:v>Residential</c:v>
                </c:pt>
              </c:strCache>
            </c:strRef>
          </c:tx>
          <c:spPr>
            <a:ln w="28575" cap="rnd">
              <a:solidFill>
                <a:schemeClr val="accent1"/>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E7'!$H$36:$H$69</c:f>
              <c:numCache>
                <c:formatCode>0.00</c:formatCode>
                <c:ptCount val="34"/>
                <c:pt idx="0">
                  <c:v>12.705630451415457</c:v>
                </c:pt>
                <c:pt idx="1">
                  <c:v>12.88607577092511</c:v>
                </c:pt>
                <c:pt idx="2">
                  <c:v>12.683247897362792</c:v>
                </c:pt>
                <c:pt idx="3">
                  <c:v>12.166993356401383</c:v>
                </c:pt>
                <c:pt idx="4">
                  <c:v>12.253872604588395</c:v>
                </c:pt>
                <c:pt idx="5">
                  <c:v>12.176083858267717</c:v>
                </c:pt>
                <c:pt idx="6">
                  <c:v>12.079327214786487</c:v>
                </c:pt>
                <c:pt idx="7">
                  <c:v>12.150110903426793</c:v>
                </c:pt>
                <c:pt idx="8">
                  <c:v>12.150693251533744</c:v>
                </c:pt>
                <c:pt idx="9">
                  <c:v>12.400237454981992</c:v>
                </c:pt>
                <c:pt idx="10">
                  <c:v>11.483832636469224</c:v>
                </c:pt>
                <c:pt idx="11">
                  <c:v>11.8370963297572</c:v>
                </c:pt>
                <c:pt idx="12">
                  <c:v>12.247028352234825</c:v>
                </c:pt>
                <c:pt idx="13">
                  <c:v>12.521999999999998</c:v>
                </c:pt>
                <c:pt idx="14">
                  <c:v>12.678442138697722</c:v>
                </c:pt>
                <c:pt idx="15">
                  <c:v>12.637410138248846</c:v>
                </c:pt>
                <c:pt idx="16">
                  <c:v>12.514546428571428</c:v>
                </c:pt>
                <c:pt idx="17">
                  <c:v>12.888061945963672</c:v>
                </c:pt>
                <c:pt idx="18">
                  <c:v>12.920996270372454</c:v>
                </c:pt>
                <c:pt idx="19">
                  <c:v>12.683074994056968</c:v>
                </c:pt>
                <c:pt idx="20">
                  <c:v>12.79978684374656</c:v>
                </c:pt>
                <c:pt idx="21">
                  <c:v>13.207333988325725</c:v>
                </c:pt>
                <c:pt idx="22">
                  <c:v>13.377510562122703</c:v>
                </c:pt>
                <c:pt idx="23">
                  <c:v>13.511384761994703</c:v>
                </c:pt>
                <c:pt idx="24">
                  <c:v>13.102639057853475</c:v>
                </c:pt>
                <c:pt idx="25">
                  <c:v>13.98700413894362</c:v>
                </c:pt>
                <c:pt idx="26">
                  <c:v>13.888869871004299</c:v>
                </c:pt>
                <c:pt idx="27">
                  <c:v>13.611646948433419</c:v>
                </c:pt>
                <c:pt idx="28">
                  <c:v>13.299246615984423</c:v>
                </c:pt>
                <c:pt idx="29">
                  <c:v>13.265168800384892</c:v>
                </c:pt>
                <c:pt idx="30">
                  <c:v>13.233017452890335</c:v>
                </c:pt>
                <c:pt idx="31">
                  <c:v>12.61673410340628</c:v>
                </c:pt>
                <c:pt idx="32">
                  <c:v>11.838040491363552</c:v>
                </c:pt>
                <c:pt idx="33">
                  <c:v>12.54</c:v>
                </c:pt>
              </c:numCache>
            </c:numRef>
          </c:val>
          <c:smooth val="0"/>
          <c:extLst>
            <c:ext xmlns:c16="http://schemas.microsoft.com/office/drawing/2014/chart" uri="{C3380CC4-5D6E-409C-BE32-E72D297353CC}">
              <c16:uniqueId val="{00000000-FC13-47D7-BB1D-CF020CBFED41}"/>
            </c:ext>
          </c:extLst>
        </c:ser>
        <c:ser>
          <c:idx val="1"/>
          <c:order val="1"/>
          <c:tx>
            <c:strRef>
              <c:f>'Table E7'!$I$4</c:f>
              <c:strCache>
                <c:ptCount val="1"/>
                <c:pt idx="0">
                  <c:v>Commercial</c:v>
                </c:pt>
              </c:strCache>
            </c:strRef>
          </c:tx>
          <c:spPr>
            <a:ln w="28575" cap="rnd">
              <a:solidFill>
                <a:schemeClr val="accent2"/>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E7'!$I$36:$I$69</c:f>
              <c:numCache>
                <c:formatCode>0.00</c:formatCode>
                <c:ptCount val="34"/>
                <c:pt idx="0">
                  <c:v>10.910523029839327</c:v>
                </c:pt>
                <c:pt idx="1">
                  <c:v>11.185829662261382</c:v>
                </c:pt>
                <c:pt idx="2">
                  <c:v>11.228149251603705</c:v>
                </c:pt>
                <c:pt idx="3">
                  <c:v>10.754188235294118</c:v>
                </c:pt>
                <c:pt idx="4">
                  <c:v>10.629617678812417</c:v>
                </c:pt>
                <c:pt idx="5">
                  <c:v>10.616585433070865</c:v>
                </c:pt>
                <c:pt idx="6">
                  <c:v>10.70049725940089</c:v>
                </c:pt>
                <c:pt idx="7">
                  <c:v>11.01103800623053</c:v>
                </c:pt>
                <c:pt idx="8">
                  <c:v>10.973010674846627</c:v>
                </c:pt>
                <c:pt idx="9">
                  <c:v>11.613791716686674</c:v>
                </c:pt>
                <c:pt idx="10">
                  <c:v>9.9090081300813004</c:v>
                </c:pt>
                <c:pt idx="11">
                  <c:v>10.168203387916432</c:v>
                </c:pt>
                <c:pt idx="12">
                  <c:v>10.637806092950857</c:v>
                </c:pt>
                <c:pt idx="13">
                  <c:v>11.345992063492062</c:v>
                </c:pt>
                <c:pt idx="14">
                  <c:v>11.968707464266808</c:v>
                </c:pt>
                <c:pt idx="15">
                  <c:v>11.59209349718382</c:v>
                </c:pt>
                <c:pt idx="16">
                  <c:v>11.244954761904763</c:v>
                </c:pt>
                <c:pt idx="17">
                  <c:v>11.903455161038282</c:v>
                </c:pt>
                <c:pt idx="18">
                  <c:v>12.086014036032937</c:v>
                </c:pt>
                <c:pt idx="19">
                  <c:v>11.816705929513324</c:v>
                </c:pt>
                <c:pt idx="20">
                  <c:v>11.947399291925011</c:v>
                </c:pt>
                <c:pt idx="21">
                  <c:v>12.353937022926216</c:v>
                </c:pt>
                <c:pt idx="22">
                  <c:v>12.116733277002014</c:v>
                </c:pt>
                <c:pt idx="23">
                  <c:v>12.478084281648544</c:v>
                </c:pt>
                <c:pt idx="24">
                  <c:v>12.407607123546905</c:v>
                </c:pt>
                <c:pt idx="25">
                  <c:v>13.151383487260409</c:v>
                </c:pt>
                <c:pt idx="26">
                  <c:v>12.936707859738007</c:v>
                </c:pt>
                <c:pt idx="27">
                  <c:v>12.579896540469973</c:v>
                </c:pt>
                <c:pt idx="28">
                  <c:v>12.267826942299497</c:v>
                </c:pt>
                <c:pt idx="29">
                  <c:v>12.407044673136271</c:v>
                </c:pt>
                <c:pt idx="30">
                  <c:v>12.373577707284468</c:v>
                </c:pt>
                <c:pt idx="31">
                  <c:v>11.852083551684686</c:v>
                </c:pt>
                <c:pt idx="32">
                  <c:v>11.140460268917325</c:v>
                </c:pt>
                <c:pt idx="33">
                  <c:v>12.11</c:v>
                </c:pt>
              </c:numCache>
            </c:numRef>
          </c:val>
          <c:smooth val="0"/>
          <c:extLst>
            <c:ext xmlns:c16="http://schemas.microsoft.com/office/drawing/2014/chart" uri="{C3380CC4-5D6E-409C-BE32-E72D297353CC}">
              <c16:uniqueId val="{00000001-FC13-47D7-BB1D-CF020CBFED41}"/>
            </c:ext>
          </c:extLst>
        </c:ser>
        <c:ser>
          <c:idx val="2"/>
          <c:order val="2"/>
          <c:tx>
            <c:strRef>
              <c:f>'Table E7'!$J$4</c:f>
              <c:strCache>
                <c:ptCount val="1"/>
                <c:pt idx="0">
                  <c:v>Industrial</c:v>
                </c:pt>
              </c:strCache>
            </c:strRef>
          </c:tx>
          <c:spPr>
            <a:ln w="28575" cap="rnd">
              <a:solidFill>
                <a:schemeClr val="accent3"/>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E7'!$J$36:$J$69</c:f>
              <c:numCache>
                <c:formatCode>0.00</c:formatCode>
                <c:ptCount val="34"/>
                <c:pt idx="0">
                  <c:v>6.6908549349655706</c:v>
                </c:pt>
                <c:pt idx="1">
                  <c:v>6.5325245227606468</c:v>
                </c:pt>
                <c:pt idx="2">
                  <c:v>6.2764702779757657</c:v>
                </c:pt>
                <c:pt idx="3">
                  <c:v>6.5368595155709341</c:v>
                </c:pt>
                <c:pt idx="4">
                  <c:v>6.7848623481781374</c:v>
                </c:pt>
                <c:pt idx="5">
                  <c:v>6.8777879265091864</c:v>
                </c:pt>
                <c:pt idx="6">
                  <c:v>6.4086462715105155</c:v>
                </c:pt>
                <c:pt idx="7">
                  <c:v>6.9483446728971963</c:v>
                </c:pt>
                <c:pt idx="8">
                  <c:v>5.9631863803680982</c:v>
                </c:pt>
                <c:pt idx="9">
                  <c:v>5.0113054021608647</c:v>
                </c:pt>
                <c:pt idx="10">
                  <c:v>7.0247789779326375</c:v>
                </c:pt>
                <c:pt idx="11">
                  <c:v>11.338148955392434</c:v>
                </c:pt>
                <c:pt idx="12">
                  <c:v>6.2844364020458086</c:v>
                </c:pt>
                <c:pt idx="13">
                  <c:v>6.6750873015873022</c:v>
                </c:pt>
                <c:pt idx="14">
                  <c:v>6.6940884065643198</c:v>
                </c:pt>
                <c:pt idx="15">
                  <c:v>7.5356408602150529</c:v>
                </c:pt>
                <c:pt idx="16">
                  <c:v>7.7384634920634916</c:v>
                </c:pt>
                <c:pt idx="17">
                  <c:v>7.5829418062910552</c:v>
                </c:pt>
                <c:pt idx="18">
                  <c:v>8.3498223433951217</c:v>
                </c:pt>
                <c:pt idx="19">
                  <c:v>7.7405104946932228</c:v>
                </c:pt>
                <c:pt idx="20">
                  <c:v>7.6714879663939541</c:v>
                </c:pt>
                <c:pt idx="21">
                  <c:v>7.1387333454847752</c:v>
                </c:pt>
                <c:pt idx="22">
                  <c:v>6.7683833201216057</c:v>
                </c:pt>
                <c:pt idx="23">
                  <c:v>7.1023058332653664</c:v>
                </c:pt>
                <c:pt idx="24">
                  <c:v>7.0661579987834555</c:v>
                </c:pt>
                <c:pt idx="25">
                  <c:v>6.8392336414687556</c:v>
                </c:pt>
                <c:pt idx="26">
                  <c:v>6.4239197026765762</c:v>
                </c:pt>
                <c:pt idx="27">
                  <c:v>6.526132098563969</c:v>
                </c:pt>
                <c:pt idx="28">
                  <c:v>6.29772718402912</c:v>
                </c:pt>
                <c:pt idx="29">
                  <c:v>6.4955229076457908</c:v>
                </c:pt>
                <c:pt idx="30">
                  <c:v>6.0984902496416309</c:v>
                </c:pt>
                <c:pt idx="31">
                  <c:v>7.0167932981510868</c:v>
                </c:pt>
                <c:pt idx="32">
                  <c:v>7.7358523175753025</c:v>
                </c:pt>
                <c:pt idx="33">
                  <c:v>7.8</c:v>
                </c:pt>
              </c:numCache>
            </c:numRef>
          </c:val>
          <c:smooth val="0"/>
          <c:extLst>
            <c:ext xmlns:c16="http://schemas.microsoft.com/office/drawing/2014/chart" uri="{C3380CC4-5D6E-409C-BE32-E72D297353CC}">
              <c16:uniqueId val="{00000002-FC13-47D7-BB1D-CF020CBFED41}"/>
            </c:ext>
          </c:extLst>
        </c:ser>
        <c:ser>
          <c:idx val="3"/>
          <c:order val="3"/>
          <c:tx>
            <c:strRef>
              <c:f>'Table E7'!$K$4</c:f>
              <c:strCache>
                <c:ptCount val="1"/>
                <c:pt idx="0">
                  <c:v>All Montana Sales</c:v>
                </c:pt>
              </c:strCache>
            </c:strRef>
          </c:tx>
          <c:spPr>
            <a:ln w="28575" cap="rnd">
              <a:solidFill>
                <a:schemeClr val="accent4"/>
              </a:solidFill>
              <a:round/>
            </a:ln>
            <a:effectLst/>
          </c:spPr>
          <c:marker>
            <c:symbol val="none"/>
          </c:marker>
          <c:cat>
            <c:numRef>
              <c:f>'Table E7'!$A$36:$A$69</c:f>
              <c:numCache>
                <c:formatCode>0</c:formatCode>
                <c:ptCount val="34"/>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pt idx="31" formatCode="General">
                  <c:v>2021</c:v>
                </c:pt>
                <c:pt idx="32" formatCode="General">
                  <c:v>2022</c:v>
                </c:pt>
                <c:pt idx="33" formatCode="General">
                  <c:v>2023</c:v>
                </c:pt>
              </c:numCache>
            </c:numRef>
          </c:cat>
          <c:val>
            <c:numRef>
              <c:f>'Table E7'!$K$36:$K$69</c:f>
              <c:numCache>
                <c:formatCode>0.00</c:formatCode>
                <c:ptCount val="34"/>
                <c:pt idx="0">
                  <c:v>9.2319810252486629</c:v>
                </c:pt>
                <c:pt idx="1">
                  <c:v>9.2618669603524229</c:v>
                </c:pt>
                <c:pt idx="2">
                  <c:v>9.0997960085531009</c:v>
                </c:pt>
                <c:pt idx="3">
                  <c:v>9.19377660899654</c:v>
                </c:pt>
                <c:pt idx="4">
                  <c:v>9.2726452091767886</c:v>
                </c:pt>
                <c:pt idx="5">
                  <c:v>9.2970098425196852</c:v>
                </c:pt>
                <c:pt idx="6">
                  <c:v>9.1663061822817085</c:v>
                </c:pt>
                <c:pt idx="7">
                  <c:v>9.8719651090342673</c:v>
                </c:pt>
                <c:pt idx="8">
                  <c:v>8.9728196319018405</c:v>
                </c:pt>
                <c:pt idx="9">
                  <c:v>8.7240608643457378</c:v>
                </c:pt>
                <c:pt idx="10">
                  <c:v>8.8473286875725901</c:v>
                </c:pt>
                <c:pt idx="11">
                  <c:v>11.148893054771317</c:v>
                </c:pt>
                <c:pt idx="12">
                  <c:v>9.6553335557038036</c:v>
                </c:pt>
                <c:pt idx="13">
                  <c:v>10.169984126984126</c:v>
                </c:pt>
                <c:pt idx="14">
                  <c:v>10.323413446267867</c:v>
                </c:pt>
                <c:pt idx="15">
                  <c:v>10.484369892473119</c:v>
                </c:pt>
                <c:pt idx="16">
                  <c:v>10.443902876984128</c:v>
                </c:pt>
                <c:pt idx="17">
                  <c:v>10.47797966644481</c:v>
                </c:pt>
                <c:pt idx="18">
                  <c:v>10.925530252713617</c:v>
                </c:pt>
                <c:pt idx="19">
                  <c:v>10.751498063271137</c:v>
                </c:pt>
                <c:pt idx="20">
                  <c:v>11.011170341563634</c:v>
                </c:pt>
                <c:pt idx="21">
                  <c:v>11.14834448450469</c:v>
                </c:pt>
                <c:pt idx="22">
                  <c:v>10.948855370784949</c:v>
                </c:pt>
                <c:pt idx="23">
                  <c:v>11.222428001734226</c:v>
                </c:pt>
                <c:pt idx="24">
                  <c:v>11.05615614017302</c:v>
                </c:pt>
                <c:pt idx="25">
                  <c:v>11.441575076893219</c:v>
                </c:pt>
                <c:pt idx="26">
                  <c:v>11.222816239458686</c:v>
                </c:pt>
                <c:pt idx="27">
                  <c:v>11.088209203655351</c:v>
                </c:pt>
                <c:pt idx="28">
                  <c:v>10.726764606323201</c:v>
                </c:pt>
                <c:pt idx="29">
                  <c:v>10.750388371920188</c:v>
                </c:pt>
                <c:pt idx="30">
                  <c:v>10.748883393673378</c:v>
                </c:pt>
                <c:pt idx="31">
                  <c:v>10.682618001992839</c:v>
                </c:pt>
                <c:pt idx="32">
                  <c:v>10.380410175804275</c:v>
                </c:pt>
                <c:pt idx="33">
                  <c:v>10.97</c:v>
                </c:pt>
              </c:numCache>
            </c:numRef>
          </c:val>
          <c:smooth val="0"/>
          <c:extLst>
            <c:ext xmlns:c16="http://schemas.microsoft.com/office/drawing/2014/chart" uri="{C3380CC4-5D6E-409C-BE32-E72D297353CC}">
              <c16:uniqueId val="{00000003-FC13-47D7-BB1D-CF020CBFED41}"/>
            </c:ext>
          </c:extLst>
        </c:ser>
        <c:dLbls>
          <c:showLegendKey val="0"/>
          <c:showVal val="0"/>
          <c:showCatName val="0"/>
          <c:showSerName val="0"/>
          <c:showPercent val="0"/>
          <c:showBubbleSize val="0"/>
        </c:dLbls>
        <c:smooth val="0"/>
        <c:axId val="1042195535"/>
        <c:axId val="1042203695"/>
      </c:lineChart>
      <c:catAx>
        <c:axId val="1042195535"/>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203695"/>
        <c:crosses val="autoZero"/>
        <c:auto val="1"/>
        <c:lblAlgn val="ctr"/>
        <c:lblOffset val="100"/>
        <c:noMultiLvlLbl val="0"/>
      </c:catAx>
      <c:valAx>
        <c:axId val="104220369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1955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Energy Sales in Montana by Utility Type</a:t>
            </a:r>
          </a:p>
          <a:p>
            <a:pPr>
              <a:defRPr/>
            </a:pPr>
            <a:r>
              <a:rPr lang="en-US" b="1"/>
              <a:t> (MWh), 2023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E8'!$M$75</c:f>
              <c:strCache>
                <c:ptCount val="1"/>
                <c:pt idx="0">
                  <c:v>Cooperatives</c:v>
                </c:pt>
              </c:strCache>
            </c:strRef>
          </c:tx>
          <c:spPr>
            <a:solidFill>
              <a:schemeClr val="accent1"/>
            </a:solidFill>
            <a:ln>
              <a:noFill/>
            </a:ln>
            <a:effectLst/>
          </c:spPr>
          <c:invertIfNegative val="0"/>
          <c:val>
            <c:numRef>
              <c:f>'Table E8'!$N$75</c:f>
              <c:numCache>
                <c:formatCode>_(* #,##0_);_(* \(#,##0\);_(* "-"??_);_(@_)</c:formatCode>
                <c:ptCount val="1"/>
                <c:pt idx="0">
                  <c:v>4711241</c:v>
                </c:pt>
              </c:numCache>
            </c:numRef>
          </c:val>
          <c:extLst>
            <c:ext xmlns:c16="http://schemas.microsoft.com/office/drawing/2014/chart" uri="{C3380CC4-5D6E-409C-BE32-E72D297353CC}">
              <c16:uniqueId val="{00000000-A63C-4DDD-A7C3-61AC05E81022}"/>
            </c:ext>
          </c:extLst>
        </c:ser>
        <c:ser>
          <c:idx val="1"/>
          <c:order val="1"/>
          <c:tx>
            <c:strRef>
              <c:f>'Table E8'!$M$76</c:f>
              <c:strCache>
                <c:ptCount val="1"/>
                <c:pt idx="0">
                  <c:v>Federal marketers</c:v>
                </c:pt>
              </c:strCache>
            </c:strRef>
          </c:tx>
          <c:spPr>
            <a:solidFill>
              <a:schemeClr val="accent2"/>
            </a:solidFill>
            <a:ln>
              <a:noFill/>
            </a:ln>
            <a:effectLst/>
          </c:spPr>
          <c:invertIfNegative val="0"/>
          <c:val>
            <c:numRef>
              <c:f>'Table E8'!$N$76</c:f>
              <c:numCache>
                <c:formatCode>_(* #,##0_);_(* \(#,##0\);_(* "-"??_);_(@_)</c:formatCode>
                <c:ptCount val="1"/>
                <c:pt idx="0">
                  <c:v>579522</c:v>
                </c:pt>
              </c:numCache>
            </c:numRef>
          </c:val>
          <c:extLst>
            <c:ext xmlns:c16="http://schemas.microsoft.com/office/drawing/2014/chart" uri="{C3380CC4-5D6E-409C-BE32-E72D297353CC}">
              <c16:uniqueId val="{00000001-A63C-4DDD-A7C3-61AC05E81022}"/>
            </c:ext>
          </c:extLst>
        </c:ser>
        <c:ser>
          <c:idx val="2"/>
          <c:order val="2"/>
          <c:tx>
            <c:strRef>
              <c:f>'Table E8'!$M$77</c:f>
              <c:strCache>
                <c:ptCount val="1"/>
                <c:pt idx="0">
                  <c:v>Investor Owned</c:v>
                </c:pt>
              </c:strCache>
            </c:strRef>
          </c:tx>
          <c:spPr>
            <a:solidFill>
              <a:schemeClr val="accent3"/>
            </a:solidFill>
            <a:ln>
              <a:noFill/>
            </a:ln>
            <a:effectLst/>
          </c:spPr>
          <c:invertIfNegative val="0"/>
          <c:val>
            <c:numRef>
              <c:f>'Table E8'!$N$77</c:f>
              <c:numCache>
                <c:formatCode>_(* #,##0_);_(* \(#,##0\);_(* "-"??_);_(@_)</c:formatCode>
                <c:ptCount val="1"/>
                <c:pt idx="0">
                  <c:v>7163034</c:v>
                </c:pt>
              </c:numCache>
            </c:numRef>
          </c:val>
          <c:extLst>
            <c:ext xmlns:c16="http://schemas.microsoft.com/office/drawing/2014/chart" uri="{C3380CC4-5D6E-409C-BE32-E72D297353CC}">
              <c16:uniqueId val="{00000002-A63C-4DDD-A7C3-61AC05E81022}"/>
            </c:ext>
          </c:extLst>
        </c:ser>
        <c:ser>
          <c:idx val="3"/>
          <c:order val="3"/>
          <c:tx>
            <c:strRef>
              <c:f>'Table E8'!$M$78</c:f>
              <c:strCache>
                <c:ptCount val="1"/>
                <c:pt idx="0">
                  <c:v>Power marketers</c:v>
                </c:pt>
              </c:strCache>
            </c:strRef>
          </c:tx>
          <c:spPr>
            <a:solidFill>
              <a:schemeClr val="accent4"/>
            </a:solidFill>
            <a:ln>
              <a:noFill/>
            </a:ln>
            <a:effectLst/>
          </c:spPr>
          <c:invertIfNegative val="0"/>
          <c:val>
            <c:numRef>
              <c:f>'Table E8'!$N$78</c:f>
              <c:numCache>
                <c:formatCode>_(* #,##0_);_(* \(#,##0\);_(* "-"??_);_(@_)</c:formatCode>
                <c:ptCount val="1"/>
                <c:pt idx="0">
                  <c:v>753836</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Montana Generation vs. </a:t>
            </a:r>
            <a:r>
              <a:rPr lang="en-US" sz="1400" b="0" i="0" u="none" strike="noStrike" baseline="0">
                <a:effectLst/>
              </a:rPr>
              <a:t>Montana Sales</a:t>
            </a:r>
            <a:r>
              <a:rPr lang="en-US"/>
              <a:t>, 1960-2023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 Sales</c:v>
          </c:tx>
          <c:spPr>
            <a:ln w="28575" cap="rnd">
              <a:solidFill>
                <a:schemeClr val="accent1"/>
              </a:solidFill>
              <a:round/>
            </a:ln>
            <a:effectLst/>
          </c:spPr>
          <c:marker>
            <c:symbol val="none"/>
          </c:marker>
          <c:cat>
            <c:numRef>
              <c:f>'Table E9'!$B$7:$B$70</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E9'!$C$7:$C$70</c:f>
              <c:numCache>
                <c:formatCode>#,##0</c:formatCode>
                <c:ptCount val="64"/>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pt idx="61">
                  <c:v>14962</c:v>
                </c:pt>
                <c:pt idx="62">
                  <c:v>15567</c:v>
                </c:pt>
                <c:pt idx="63">
                  <c:v>15504.699000000001</c:v>
                </c:pt>
              </c:numCache>
            </c:numRef>
          </c:val>
          <c:smooth val="0"/>
          <c:extLst>
            <c:ext xmlns:c16="http://schemas.microsoft.com/office/drawing/2014/chart" uri="{C3380CC4-5D6E-409C-BE32-E72D297353CC}">
              <c16:uniqueId val="{00000000-B80A-427E-8CE3-051192BA46BB}"/>
            </c:ext>
          </c:extLst>
        </c:ser>
        <c:ser>
          <c:idx val="1"/>
          <c:order val="1"/>
          <c:tx>
            <c:v>Total Montana Generation</c:v>
          </c:tx>
          <c:spPr>
            <a:ln w="28575" cap="rnd">
              <a:solidFill>
                <a:schemeClr val="accent2"/>
              </a:solidFill>
              <a:round/>
            </a:ln>
            <a:effectLst/>
          </c:spPr>
          <c:marker>
            <c:symbol val="none"/>
          </c:marker>
          <c:cat>
            <c:numRef>
              <c:f>'Table E9'!$B$7:$B$70</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E9'!$D$7:$D$70</c:f>
              <c:numCache>
                <c:formatCode>#,##0</c:formatCode>
                <c:ptCount val="64"/>
                <c:pt idx="0">
                  <c:v>5992</c:v>
                </c:pt>
                <c:pt idx="1">
                  <c:v>6780</c:v>
                </c:pt>
                <c:pt idx="2">
                  <c:v>7051</c:v>
                </c:pt>
                <c:pt idx="3">
                  <c:v>6594</c:v>
                </c:pt>
                <c:pt idx="4">
                  <c:v>7329</c:v>
                </c:pt>
                <c:pt idx="5">
                  <c:v>8845</c:v>
                </c:pt>
                <c:pt idx="6">
                  <c:v>8573</c:v>
                </c:pt>
                <c:pt idx="7">
                  <c:v>9061</c:v>
                </c:pt>
                <c:pt idx="8">
                  <c:v>9421</c:v>
                </c:pt>
                <c:pt idx="9">
                  <c:v>10381</c:v>
                </c:pt>
                <c:pt idx="10">
                  <c:v>9953</c:v>
                </c:pt>
                <c:pt idx="11">
                  <c:v>10593</c:v>
                </c:pt>
                <c:pt idx="12">
                  <c:v>10639</c:v>
                </c:pt>
                <c:pt idx="13">
                  <c:v>9084</c:v>
                </c:pt>
                <c:pt idx="14">
                  <c:v>11040</c:v>
                </c:pt>
                <c:pt idx="15">
                  <c:v>11217</c:v>
                </c:pt>
                <c:pt idx="16">
                  <c:v>16054</c:v>
                </c:pt>
                <c:pt idx="17">
                  <c:v>13427</c:v>
                </c:pt>
                <c:pt idx="18">
                  <c:v>16698</c:v>
                </c:pt>
                <c:pt idx="19">
                  <c:v>15704</c:v>
                </c:pt>
                <c:pt idx="20">
                  <c:v>15479</c:v>
                </c:pt>
                <c:pt idx="21">
                  <c:v>16559</c:v>
                </c:pt>
                <c:pt idx="22">
                  <c:v>14816</c:v>
                </c:pt>
                <c:pt idx="23">
                  <c:v>15057.22976</c:v>
                </c:pt>
                <c:pt idx="24">
                  <c:v>18838.5288</c:v>
                </c:pt>
                <c:pt idx="25">
                  <c:v>18716.791689999998</c:v>
                </c:pt>
                <c:pt idx="26">
                  <c:v>22393.10356</c:v>
                </c:pt>
                <c:pt idx="27">
                  <c:v>20841.854391000001</c:v>
                </c:pt>
                <c:pt idx="28">
                  <c:v>24775.129354999997</c:v>
                </c:pt>
                <c:pt idx="29">
                  <c:v>25782.404576000001</c:v>
                </c:pt>
                <c:pt idx="30">
                  <c:v>26030</c:v>
                </c:pt>
                <c:pt idx="31">
                  <c:v>28553</c:v>
                </c:pt>
                <c:pt idx="32">
                  <c:v>25900</c:v>
                </c:pt>
                <c:pt idx="33">
                  <c:v>23873</c:v>
                </c:pt>
                <c:pt idx="34">
                  <c:v>25153</c:v>
                </c:pt>
                <c:pt idx="35">
                  <c:v>25961</c:v>
                </c:pt>
                <c:pt idx="36">
                  <c:v>26837</c:v>
                </c:pt>
                <c:pt idx="37">
                  <c:v>28587</c:v>
                </c:pt>
                <c:pt idx="38">
                  <c:v>28461</c:v>
                </c:pt>
                <c:pt idx="39">
                  <c:v>31419</c:v>
                </c:pt>
                <c:pt idx="40">
                  <c:v>26452</c:v>
                </c:pt>
                <c:pt idx="41">
                  <c:v>24232</c:v>
                </c:pt>
                <c:pt idx="42">
                  <c:v>25474</c:v>
                </c:pt>
                <c:pt idx="43">
                  <c:v>26269</c:v>
                </c:pt>
                <c:pt idx="44">
                  <c:v>26789</c:v>
                </c:pt>
                <c:pt idx="45">
                  <c:v>27939</c:v>
                </c:pt>
                <c:pt idx="46">
                  <c:v>28244</c:v>
                </c:pt>
                <c:pt idx="47">
                  <c:v>28931</c:v>
                </c:pt>
                <c:pt idx="48">
                  <c:v>29637</c:v>
                </c:pt>
                <c:pt idx="49">
                  <c:v>26713</c:v>
                </c:pt>
                <c:pt idx="50">
                  <c:v>29791</c:v>
                </c:pt>
                <c:pt idx="51">
                  <c:v>30129</c:v>
                </c:pt>
                <c:pt idx="52">
                  <c:v>27805</c:v>
                </c:pt>
                <c:pt idx="53">
                  <c:v>27687</c:v>
                </c:pt>
                <c:pt idx="54">
                  <c:v>30258</c:v>
                </c:pt>
                <c:pt idx="55">
                  <c:v>29302</c:v>
                </c:pt>
                <c:pt idx="56">
                  <c:v>27784</c:v>
                </c:pt>
                <c:pt idx="57">
                  <c:v>28221</c:v>
                </c:pt>
                <c:pt idx="58">
                  <c:v>28195</c:v>
                </c:pt>
                <c:pt idx="59">
                  <c:v>27797</c:v>
                </c:pt>
                <c:pt idx="60">
                  <c:v>23353</c:v>
                </c:pt>
                <c:pt idx="61">
                  <c:v>24948</c:v>
                </c:pt>
                <c:pt idx="62">
                  <c:v>27089</c:v>
                </c:pt>
                <c:pt idx="63">
                  <c:v>26896</c:v>
                </c:pt>
              </c:numCache>
            </c:numRef>
          </c:val>
          <c:smooth val="0"/>
          <c:extLst>
            <c:ext xmlns:c16="http://schemas.microsoft.com/office/drawing/2014/chart" uri="{C3380CC4-5D6E-409C-BE32-E72D297353CC}">
              <c16:uniqueId val="{00000001-B80A-427E-8CE3-051192BA46BB}"/>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Estaimted Percent Montana Generation Exported Out of State, 1960-2023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8785511209272527E-2"/>
          <c:y val="0.1102604889420352"/>
          <c:w val="0.93390974416508232"/>
          <c:h val="0.82994592284744151"/>
        </c:manualLayout>
      </c:layout>
      <c:lineChart>
        <c:grouping val="standard"/>
        <c:varyColors val="0"/>
        <c:ser>
          <c:idx val="0"/>
          <c:order val="0"/>
          <c:tx>
            <c:v>Percent Exported Out of State</c:v>
          </c:tx>
          <c:spPr>
            <a:ln w="28575" cap="rnd">
              <a:solidFill>
                <a:schemeClr val="accent1"/>
              </a:solidFill>
              <a:round/>
            </a:ln>
            <a:effectLst/>
          </c:spPr>
          <c:marker>
            <c:symbol val="none"/>
          </c:marker>
          <c:cat>
            <c:numRef>
              <c:f>'Table E9'!$B$7:$B$70</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E9'!$E$7:$E$70</c:f>
              <c:numCache>
                <c:formatCode>0%</c:formatCode>
                <c:ptCount val="64"/>
                <c:pt idx="0">
                  <c:v>0.23648197596795728</c:v>
                </c:pt>
                <c:pt idx="1">
                  <c:v>0.30722713864306783</c:v>
                </c:pt>
                <c:pt idx="2">
                  <c:v>0.29853921429584457</c:v>
                </c:pt>
                <c:pt idx="3">
                  <c:v>0.22641795571731876</c:v>
                </c:pt>
                <c:pt idx="4">
                  <c:v>0.24396234138354483</c:v>
                </c:pt>
                <c:pt idx="5">
                  <c:v>0.31260599208592427</c:v>
                </c:pt>
                <c:pt idx="6">
                  <c:v>0.1949142657179517</c:v>
                </c:pt>
                <c:pt idx="7">
                  <c:v>0.27027921862929039</c:v>
                </c:pt>
                <c:pt idx="8">
                  <c:v>0.21101793864770194</c:v>
                </c:pt>
                <c:pt idx="9">
                  <c:v>0.1541277333590213</c:v>
                </c:pt>
                <c:pt idx="10">
                  <c:v>0.12086807997588667</c:v>
                </c:pt>
                <c:pt idx="11">
                  <c:v>0.16076654394411405</c:v>
                </c:pt>
                <c:pt idx="12">
                  <c:v>0.17633236206410377</c:v>
                </c:pt>
                <c:pt idx="13">
                  <c:v>9.5442536327608976E-2</c:v>
                </c:pt>
                <c:pt idx="14">
                  <c:v>0.16929347826086957</c:v>
                </c:pt>
                <c:pt idx="15">
                  <c:v>0.23553534813229918</c:v>
                </c:pt>
                <c:pt idx="16">
                  <c:v>0.3826460695153856</c:v>
                </c:pt>
                <c:pt idx="17">
                  <c:v>0.25426379682728828</c:v>
                </c:pt>
                <c:pt idx="18">
                  <c:v>0.35405437776979282</c:v>
                </c:pt>
                <c:pt idx="19">
                  <c:v>0.29132705043301071</c:v>
                </c:pt>
                <c:pt idx="20">
                  <c:v>0.30066541766263971</c:v>
                </c:pt>
                <c:pt idx="21">
                  <c:v>0.33836584334802827</c:v>
                </c:pt>
                <c:pt idx="22">
                  <c:v>0.30642548596112312</c:v>
                </c:pt>
                <c:pt idx="23">
                  <c:v>0.34828649383643329</c:v>
                </c:pt>
                <c:pt idx="24">
                  <c:v>0.39135374520328786</c:v>
                </c:pt>
                <c:pt idx="25">
                  <c:v>0.36837465545357034</c:v>
                </c:pt>
                <c:pt idx="26">
                  <c:v>0.48229596808956121</c:v>
                </c:pt>
                <c:pt idx="27">
                  <c:v>0.40393979504220406</c:v>
                </c:pt>
                <c:pt idx="28">
                  <c:v>0.47762129454278279</c:v>
                </c:pt>
                <c:pt idx="29">
                  <c:v>0.49341420186393092</c:v>
                </c:pt>
                <c:pt idx="30">
                  <c:v>0.49579012677679596</c:v>
                </c:pt>
                <c:pt idx="31">
                  <c:v>0.53046615066718028</c:v>
                </c:pt>
                <c:pt idx="32">
                  <c:v>0.49434818532818536</c:v>
                </c:pt>
                <c:pt idx="33">
                  <c:v>0.45841632806936705</c:v>
                </c:pt>
                <c:pt idx="34">
                  <c:v>0.47584248399793266</c:v>
                </c:pt>
                <c:pt idx="35">
                  <c:v>0.48312765301798855</c:v>
                </c:pt>
                <c:pt idx="36">
                  <c:v>0.48505585572157839</c:v>
                </c:pt>
                <c:pt idx="37">
                  <c:v>0.51957830482387102</c:v>
                </c:pt>
                <c:pt idx="38">
                  <c:v>0.50301001370296194</c:v>
                </c:pt>
                <c:pt idx="39">
                  <c:v>0.5772749291829784</c:v>
                </c:pt>
                <c:pt idx="40">
                  <c:v>0.44881362467866326</c:v>
                </c:pt>
                <c:pt idx="41">
                  <c:v>0.52762223506107631</c:v>
                </c:pt>
                <c:pt idx="42">
                  <c:v>0.49629473188348899</c:v>
                </c:pt>
                <c:pt idx="43">
                  <c:v>0.51179489131676126</c:v>
                </c:pt>
                <c:pt idx="44">
                  <c:v>0.51633946769196315</c:v>
                </c:pt>
                <c:pt idx="45">
                  <c:v>0.51756190271663272</c:v>
                </c:pt>
                <c:pt idx="46">
                  <c:v>0.51087027333238921</c:v>
                </c:pt>
                <c:pt idx="47">
                  <c:v>0.46313694652794579</c:v>
                </c:pt>
                <c:pt idx="48">
                  <c:v>0.48286263791881773</c:v>
                </c:pt>
                <c:pt idx="49">
                  <c:v>0.46370085726050986</c:v>
                </c:pt>
                <c:pt idx="50">
                  <c:v>0.5494230472290289</c:v>
                </c:pt>
                <c:pt idx="51">
                  <c:v>0.54236781838096182</c:v>
                </c:pt>
                <c:pt idx="52">
                  <c:v>0.50142060780435171</c:v>
                </c:pt>
                <c:pt idx="53">
                  <c:v>0.49272221620254991</c:v>
                </c:pt>
                <c:pt idx="54">
                  <c:v>0.53394143697534535</c:v>
                </c:pt>
                <c:pt idx="55">
                  <c:v>0.51515254931403998</c:v>
                </c:pt>
                <c:pt idx="56">
                  <c:v>0.49247768499856032</c:v>
                </c:pt>
                <c:pt idx="57">
                  <c:v>0.47875695404131674</c:v>
                </c:pt>
                <c:pt idx="58">
                  <c:v>0.47370101081752086</c:v>
                </c:pt>
                <c:pt idx="59">
                  <c:v>0.44882541281433247</c:v>
                </c:pt>
                <c:pt idx="60">
                  <c:v>0.37549779471588235</c:v>
                </c:pt>
                <c:pt idx="61">
                  <c:v>0.40027256693923363</c:v>
                </c:pt>
                <c:pt idx="62">
                  <c:v>0.42533869836464988</c:v>
                </c:pt>
                <c:pt idx="63">
                  <c:v>0.42353141731112431</c:v>
                </c:pt>
              </c:numCache>
            </c:numRef>
          </c:val>
          <c:smooth val="0"/>
          <c:extLst>
            <c:ext xmlns:c16="http://schemas.microsoft.com/office/drawing/2014/chart" uri="{C3380CC4-5D6E-409C-BE32-E72D297353CC}">
              <c16:uniqueId val="{00000003-BAD3-425A-837D-0C3AA5CCC6A3}"/>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Montana Electricity Generation (%)  2005-2023</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D6A0-4391-AF19-893C433B8924}"/>
              </c:ext>
            </c:extLst>
          </c:dPt>
          <c:cat>
            <c:numRef>
              <c:f>'Table E5'!$A$51:$A$69</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'Table E5'!$J$51:$J$69</c:f>
              <c:numCache>
                <c:formatCode>#,##0</c:formatCode>
                <c:ptCount val="19"/>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pt idx="12">
                  <c:v>2155</c:v>
                </c:pt>
                <c:pt idx="13">
                  <c:v>2153</c:v>
                </c:pt>
                <c:pt idx="14">
                  <c:v>2373</c:v>
                </c:pt>
                <c:pt idx="15">
                  <c:v>3059</c:v>
                </c:pt>
                <c:pt idx="16">
                  <c:v>3473</c:v>
                </c:pt>
                <c:pt idx="17">
                  <c:v>4022</c:v>
                </c:pt>
                <c:pt idx="18">
                  <c:v>4557</c:v>
                </c:pt>
              </c:numCache>
            </c:numRef>
          </c:val>
          <c:smooth val="0"/>
          <c:extLst>
            <c:ext xmlns:c16="http://schemas.microsoft.com/office/drawing/2014/chart" uri="{C3380CC4-5D6E-409C-BE32-E72D297353CC}">
              <c16:uniqueId val="{00000001-D6A0-4391-AF19-893C433B8924}"/>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spPr>
            <a:ln>
              <a:solidFill>
                <a:srgbClr val="00B0F0"/>
              </a:solidFill>
              <a:prstDash val="sysDash"/>
            </a:ln>
          </c:spPr>
          <c:marker>
            <c:symbol val="none"/>
          </c:marker>
          <c:dPt>
            <c:idx val="9"/>
            <c:bubble3D val="0"/>
            <c:spPr>
              <a:ln>
                <a:solidFill>
                  <a:srgbClr val="00B0F0"/>
                </a:solidFill>
                <a:prstDash val="sysDash"/>
              </a:ln>
            </c:spPr>
            <c:extLst>
              <c:ext xmlns:c16="http://schemas.microsoft.com/office/drawing/2014/chart" uri="{C3380CC4-5D6E-409C-BE32-E72D297353CC}">
                <c16:uniqueId val="{00000003-D6A0-4391-AF19-893C433B8924}"/>
              </c:ext>
            </c:extLst>
          </c:dPt>
          <c:cat>
            <c:numRef>
              <c:f>'Table E5'!$A$51:$A$69</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'Table E5'!$K$51:$K$69</c:f>
              <c:numCache>
                <c:formatCode>0.0%</c:formatCode>
                <c:ptCount val="19"/>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pt idx="12">
                  <c:v>7.6361574713865565E-2</c:v>
                </c:pt>
                <c:pt idx="13">
                  <c:v>7.6361056924986695E-2</c:v>
                </c:pt>
                <c:pt idx="14">
                  <c:v>8.5368924704104759E-2</c:v>
                </c:pt>
                <c:pt idx="15">
                  <c:v>0.13098959448464864</c:v>
                </c:pt>
                <c:pt idx="16">
                  <c:v>0.13920955587622255</c:v>
                </c:pt>
                <c:pt idx="17">
                  <c:v>0.14847355014950717</c:v>
                </c:pt>
                <c:pt idx="18">
                  <c:v>0.1694303985722784</c:v>
                </c:pt>
              </c:numCache>
            </c:numRef>
          </c:val>
          <c:smooth val="0"/>
          <c:extLst>
            <c:ext xmlns:c16="http://schemas.microsoft.com/office/drawing/2014/chart" uri="{C3380CC4-5D6E-409C-BE32-E72D297353CC}">
              <c16:uniqueId val="{00000004-D6A0-4391-AF19-893C433B8924}"/>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0"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Montana Wind Generation Total Nameplate</a:t>
            </a:r>
            <a:r>
              <a:rPr lang="en-US" sz="2000" baseline="0"/>
              <a:t> Capacity and Percentage Total Capacity </a:t>
            </a:r>
            <a:r>
              <a:rPr lang="en-US" sz="2000"/>
              <a:t>2005-2024</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1"/>
          <c:order val="0"/>
          <c:tx>
            <c:v>Wind Nameplate Capacity</c:v>
          </c:tx>
          <c:spPr>
            <a:ln>
              <a:solidFill>
                <a:srgbClr val="00B0F0"/>
              </a:solidFill>
              <a:prstDash val="sysDash"/>
            </a:ln>
          </c:spPr>
          <c:marker>
            <c:symbol val="none"/>
          </c:marker>
          <c:dPt>
            <c:idx val="9"/>
            <c:bubble3D val="0"/>
            <c:extLst>
              <c:ext xmlns:c16="http://schemas.microsoft.com/office/drawing/2014/chart" uri="{C3380CC4-5D6E-409C-BE32-E72D297353CC}">
                <c16:uniqueId val="{00000003-60A7-46C5-88E6-3AB8105B38E0}"/>
              </c:ext>
            </c:extLst>
          </c:dPt>
          <c:cat>
            <c:numRef>
              <c:f>'Chart E10'!$F$45:$Y$45</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'Chart E10'!$F$46:$Y$46</c:f>
              <c:numCache>
                <c:formatCode>General</c:formatCode>
                <c:ptCount val="20"/>
                <c:pt idx="0">
                  <c:v>135.80000000000001</c:v>
                </c:pt>
                <c:pt idx="1">
                  <c:v>144.80000000000001</c:v>
                </c:pt>
                <c:pt idx="2">
                  <c:v>166.8</c:v>
                </c:pt>
                <c:pt idx="3">
                  <c:v>166.8</c:v>
                </c:pt>
                <c:pt idx="4">
                  <c:v>166.8</c:v>
                </c:pt>
                <c:pt idx="5">
                  <c:v>386.8</c:v>
                </c:pt>
                <c:pt idx="6">
                  <c:v>386.8</c:v>
                </c:pt>
                <c:pt idx="7">
                  <c:v>625.4</c:v>
                </c:pt>
                <c:pt idx="8">
                  <c:v>645.4</c:v>
                </c:pt>
                <c:pt idx="9">
                  <c:v>665.1</c:v>
                </c:pt>
                <c:pt idx="10">
                  <c:v>665.1</c:v>
                </c:pt>
                <c:pt idx="11">
                  <c:v>690.1</c:v>
                </c:pt>
                <c:pt idx="12">
                  <c:v>690.1</c:v>
                </c:pt>
                <c:pt idx="13">
                  <c:v>806.00000000000023</c:v>
                </c:pt>
                <c:pt idx="14">
                  <c:v>807.60000000000014</c:v>
                </c:pt>
                <c:pt idx="15">
                  <c:v>887.60000000000014</c:v>
                </c:pt>
                <c:pt idx="16">
                  <c:v>882</c:v>
                </c:pt>
                <c:pt idx="17">
                  <c:v>1473</c:v>
                </c:pt>
                <c:pt idx="18">
                  <c:v>1773.6000000000001</c:v>
                </c:pt>
                <c:pt idx="19">
                  <c:v>1873.6000000000001</c:v>
                </c:pt>
              </c:numCache>
            </c:numRef>
          </c:val>
          <c:smooth val="0"/>
          <c:extLst>
            <c:ext xmlns:c16="http://schemas.microsoft.com/office/drawing/2014/chart" uri="{C3380CC4-5D6E-409C-BE32-E72D297353CC}">
              <c16:uniqueId val="{00000004-60A7-46C5-88E6-3AB8105B38E0}"/>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0"/>
          <c:order val="1"/>
          <c:tx>
            <c:strRef>
              <c:f>'Chart E10'!$D$48</c:f>
              <c:strCache>
                <c:ptCount val="1"/>
                <c:pt idx="0">
                  <c:v>Percentage Total Nameplate Capacity</c:v>
                </c:pt>
              </c:strCache>
            </c:strRef>
          </c:tx>
          <c:spPr>
            <a:ln>
              <a:solidFill>
                <a:srgbClr val="FF0000"/>
              </a:solidFill>
            </a:ln>
          </c:spPr>
          <c:marker>
            <c:symbol val="none"/>
          </c:marker>
          <c:cat>
            <c:numRef>
              <c:f>'Chart E10'!$F$45:$V$45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'Chart E10'!$F$48:$Y$48</c:f>
              <c:numCache>
                <c:formatCode>0%</c:formatCode>
                <c:ptCount val="20"/>
                <c:pt idx="0">
                  <c:v>2.60649189223634E-2</c:v>
                </c:pt>
                <c:pt idx="1">
                  <c:v>2.6880682442607516E-2</c:v>
                </c:pt>
                <c:pt idx="2">
                  <c:v>3.0838815789473686E-2</c:v>
                </c:pt>
                <c:pt idx="3">
                  <c:v>3.0838815789473686E-2</c:v>
                </c:pt>
                <c:pt idx="4">
                  <c:v>3.0580994901700808E-2</c:v>
                </c:pt>
                <c:pt idx="5">
                  <c:v>6.7026312159626608E-2</c:v>
                </c:pt>
                <c:pt idx="6">
                  <c:v>6.5185137249429884E-2</c:v>
                </c:pt>
                <c:pt idx="7">
                  <c:v>0.10123143328267446</c:v>
                </c:pt>
                <c:pt idx="8">
                  <c:v>0.10279651434763158</c:v>
                </c:pt>
                <c:pt idx="9">
                  <c:v>0.10560289152815848</c:v>
                </c:pt>
                <c:pt idx="10">
                  <c:v>0.10529193697428239</c:v>
                </c:pt>
                <c:pt idx="11">
                  <c:v>0.11172591032494092</c:v>
                </c:pt>
                <c:pt idx="12">
                  <c:v>0.11156335322483726</c:v>
                </c:pt>
                <c:pt idx="13">
                  <c:v>0.12792791849055218</c:v>
                </c:pt>
                <c:pt idx="14">
                  <c:v>0.12818186969351109</c:v>
                </c:pt>
                <c:pt idx="15">
                  <c:v>0.15370434218230034</c:v>
                </c:pt>
                <c:pt idx="16">
                  <c:v>0.15434629183033879</c:v>
                </c:pt>
                <c:pt idx="17">
                  <c:v>0.23071779548441571</c:v>
                </c:pt>
                <c:pt idx="18">
                  <c:v>0.26213330933105017</c:v>
                </c:pt>
                <c:pt idx="19">
                  <c:v>0.2660976963148679</c:v>
                </c:pt>
              </c:numCache>
            </c:numRef>
          </c:val>
          <c:smooth val="0"/>
          <c:extLst>
            <c:ext xmlns:c16="http://schemas.microsoft.com/office/drawing/2014/chart" uri="{C3380CC4-5D6E-409C-BE32-E72D297353CC}">
              <c16:uniqueId val="{00000010-F651-4F5F-816D-062BC7782C17}"/>
            </c:ext>
          </c:extLst>
        </c:ser>
        <c:dLbls>
          <c:showLegendKey val="0"/>
          <c:showVal val="0"/>
          <c:showCatName val="0"/>
          <c:showSerName val="0"/>
          <c:showPercent val="0"/>
          <c:showBubbleSize val="0"/>
        </c:dLbls>
        <c:marker val="1"/>
        <c:smooth val="0"/>
        <c:axId val="670659856"/>
        <c:axId val="670667400"/>
      </c:lineChart>
      <c:catAx>
        <c:axId val="2494200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MW</a:t>
                </a:r>
              </a:p>
            </c:rich>
          </c:tx>
          <c:overlay val="0"/>
        </c:title>
        <c:numFmt formatCode="General" sourceLinked="1"/>
        <c:majorTickMark val="out"/>
        <c:minorTickMark val="none"/>
        <c:tickLblPos val="nextTo"/>
        <c:txPr>
          <a:bodyPr/>
          <a:lstStyle/>
          <a:p>
            <a:pPr>
              <a:defRPr sz="1200"/>
            </a:pPr>
            <a:endParaRPr lang="en-US"/>
          </a:p>
        </c:txPr>
        <c:crossAx val="249420032"/>
        <c:crosses val="autoZero"/>
        <c:crossBetween val="between"/>
      </c:valAx>
      <c:valAx>
        <c:axId val="670667400"/>
        <c:scaling>
          <c:orientation val="minMax"/>
        </c:scaling>
        <c:delete val="0"/>
        <c:axPos val="r"/>
        <c:numFmt formatCode="0%" sourceLinked="1"/>
        <c:majorTickMark val="out"/>
        <c:minorTickMark val="none"/>
        <c:tickLblPos val="nextTo"/>
        <c:crossAx val="670659856"/>
        <c:crosses val="max"/>
        <c:crossBetween val="between"/>
      </c:valAx>
      <c:catAx>
        <c:axId val="670659856"/>
        <c:scaling>
          <c:orientation val="minMax"/>
        </c:scaling>
        <c:delete val="1"/>
        <c:axPos val="b"/>
        <c:numFmt formatCode="General" sourceLinked="1"/>
        <c:majorTickMark val="out"/>
        <c:minorTickMark val="none"/>
        <c:tickLblPos val="nextTo"/>
        <c:crossAx val="670667400"/>
        <c:crosses val="autoZero"/>
        <c:auto val="1"/>
        <c:lblAlgn val="ctr"/>
        <c:lblOffset val="100"/>
        <c:noMultiLvlLbl val="0"/>
      </c:cat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v>Hydro Capacity</c:v>
          </c:tx>
          <c:spPr>
            <a:solidFill>
              <a:schemeClr val="accent1"/>
            </a:solidFill>
            <a:ln>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1970-2022'!$B$29:$BD$29</c:f>
              <c:numCache>
                <c:formatCode>General</c:formatCode>
                <c:ptCount val="55"/>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2329.83</c:v>
                </c:pt>
                <c:pt idx="15">
                  <c:v>2331.0299999999997</c:v>
                </c:pt>
                <c:pt idx="16">
                  <c:v>2331.0299999999997</c:v>
                </c:pt>
                <c:pt idx="17">
                  <c:v>2331.2179999999998</c:v>
                </c:pt>
                <c:pt idx="18">
                  <c:v>2331.9679999999998</c:v>
                </c:pt>
                <c:pt idx="19">
                  <c:v>2343.2179999999998</c:v>
                </c:pt>
                <c:pt idx="20">
                  <c:v>2484.2179999999998</c:v>
                </c:pt>
                <c:pt idx="21">
                  <c:v>2484.2179999999998</c:v>
                </c:pt>
                <c:pt idx="22">
                  <c:v>2484.2179999999998</c:v>
                </c:pt>
                <c:pt idx="23">
                  <c:v>2484.2179999999998</c:v>
                </c:pt>
                <c:pt idx="24">
                  <c:v>2537.2179999999998</c:v>
                </c:pt>
                <c:pt idx="25">
                  <c:v>2537.2179999999998</c:v>
                </c:pt>
                <c:pt idx="26">
                  <c:v>2537.6679999999997</c:v>
                </c:pt>
                <c:pt idx="27">
                  <c:v>2537.6679999999997</c:v>
                </c:pt>
                <c:pt idx="28">
                  <c:v>2537.6679999999997</c:v>
                </c:pt>
                <c:pt idx="29">
                  <c:v>2537.6679999999997</c:v>
                </c:pt>
                <c:pt idx="30">
                  <c:v>2537.6679999999997</c:v>
                </c:pt>
                <c:pt idx="31">
                  <c:v>2541.6679999999997</c:v>
                </c:pt>
                <c:pt idx="32">
                  <c:v>2541.6679999999997</c:v>
                </c:pt>
                <c:pt idx="33">
                  <c:v>2541.6679999999997</c:v>
                </c:pt>
                <c:pt idx="34">
                  <c:v>2549.1679999999997</c:v>
                </c:pt>
                <c:pt idx="35">
                  <c:v>2549.1679999999997</c:v>
                </c:pt>
                <c:pt idx="36">
                  <c:v>2549.1679999999997</c:v>
                </c:pt>
                <c:pt idx="37">
                  <c:v>2549.1679999999997</c:v>
                </c:pt>
                <c:pt idx="38">
                  <c:v>2549.1679999999997</c:v>
                </c:pt>
                <c:pt idx="39">
                  <c:v>2593.1679999999997</c:v>
                </c:pt>
                <c:pt idx="40">
                  <c:v>2593.1679999999997</c:v>
                </c:pt>
                <c:pt idx="41">
                  <c:v>2606.1679999999997</c:v>
                </c:pt>
                <c:pt idx="42">
                  <c:v>2611.6229999999996</c:v>
                </c:pt>
                <c:pt idx="43">
                  <c:v>2689.6229999999996</c:v>
                </c:pt>
                <c:pt idx="44">
                  <c:v>2689.6229999999996</c:v>
                </c:pt>
                <c:pt idx="45">
                  <c:v>2689.6229999999996</c:v>
                </c:pt>
                <c:pt idx="46">
                  <c:v>2689.6229999999996</c:v>
                </c:pt>
                <c:pt idx="47">
                  <c:v>2689.6229999999996</c:v>
                </c:pt>
                <c:pt idx="48">
                  <c:v>2689.6229999999996</c:v>
                </c:pt>
                <c:pt idx="49">
                  <c:v>2689.6229999999996</c:v>
                </c:pt>
                <c:pt idx="50">
                  <c:v>2697.9229999999998</c:v>
                </c:pt>
                <c:pt idx="51">
                  <c:v>2702.9229999999998</c:v>
                </c:pt>
                <c:pt idx="52">
                  <c:v>2702.9229999999998</c:v>
                </c:pt>
                <c:pt idx="53">
                  <c:v>2702.9229999999998</c:v>
                </c:pt>
                <c:pt idx="54">
                  <c:v>2702.9229999999998</c:v>
                </c:pt>
              </c:numCache>
            </c:numRef>
          </c:val>
          <c:extLst>
            <c:ext xmlns:c16="http://schemas.microsoft.com/office/drawing/2014/chart" uri="{C3380CC4-5D6E-409C-BE32-E72D297353CC}">
              <c16:uniqueId val="{00000000-07FE-4658-8934-CEEE90AEB02C}"/>
            </c:ext>
          </c:extLst>
        </c:ser>
        <c:ser>
          <c:idx val="2"/>
          <c:order val="1"/>
          <c:tx>
            <c:v>Natural Gas Capacity</c:v>
          </c:tx>
          <c:spPr>
            <a:solidFill>
              <a:schemeClr val="accent6">
                <a:lumMod val="75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1970-2022'!$B$56:$BD$56</c:f>
              <c:numCache>
                <c:formatCode>General</c:formatCode>
                <c:ptCount val="55"/>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pt idx="51">
                  <c:v>418.6</c:v>
                </c:pt>
                <c:pt idx="52">
                  <c:v>418.6</c:v>
                </c:pt>
                <c:pt idx="53">
                  <c:v>418.6</c:v>
                </c:pt>
                <c:pt idx="54">
                  <c:v>593.6</c:v>
                </c:pt>
              </c:numCache>
            </c:numRef>
          </c:val>
          <c:extLst>
            <c:ext xmlns:c16="http://schemas.microsoft.com/office/drawing/2014/chart" uri="{C3380CC4-5D6E-409C-BE32-E72D297353CC}">
              <c16:uniqueId val="{00000001-07FE-4658-8934-CEEE90AEB02C}"/>
            </c:ext>
          </c:extLst>
        </c:ser>
        <c:ser>
          <c:idx val="1"/>
          <c:order val="2"/>
          <c:tx>
            <c:v>Coal Capacity</c:v>
          </c:tx>
          <c:spPr>
            <a:solidFill>
              <a:schemeClr val="accent2">
                <a:lumMod val="75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1970-2022'!$B$41:$BD$41</c:f>
              <c:numCache>
                <c:formatCode>General</c:formatCode>
                <c:ptCount val="55"/>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pt idx="49">
                  <c:v>2294.6999999999998</c:v>
                </c:pt>
                <c:pt idx="50">
                  <c:v>1680.7</c:v>
                </c:pt>
                <c:pt idx="51">
                  <c:v>1630.7</c:v>
                </c:pt>
                <c:pt idx="52">
                  <c:v>1630.7</c:v>
                </c:pt>
                <c:pt idx="53">
                  <c:v>1630.7</c:v>
                </c:pt>
                <c:pt idx="54">
                  <c:v>1630.7</c:v>
                </c:pt>
              </c:numCache>
            </c:numRef>
          </c:val>
          <c:extLst>
            <c:ext xmlns:c16="http://schemas.microsoft.com/office/drawing/2014/chart" uri="{C3380CC4-5D6E-409C-BE32-E72D297353CC}">
              <c16:uniqueId val="{00000002-07FE-4658-8934-CEEE90AEB02C}"/>
            </c:ext>
          </c:extLst>
        </c:ser>
        <c:ser>
          <c:idx val="3"/>
          <c:order val="3"/>
          <c:tx>
            <c:v>Petroleum Coke Capacity</c:v>
          </c:tx>
          <c:spPr>
            <a:solidFill>
              <a:srgbClr val="9B85B5"/>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1970-2022'!$B$61:$BD$61</c:f>
              <c:numCache>
                <c:formatCode>General</c:formatCode>
                <c:ptCount val="55"/>
                <c:pt idx="0">
                  <c:v>0</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52</c:v>
                </c:pt>
                <c:pt idx="52">
                  <c:v>52</c:v>
                </c:pt>
                <c:pt idx="53">
                  <c:v>52</c:v>
                </c:pt>
                <c:pt idx="54">
                  <c:v>52</c:v>
                </c:pt>
              </c:numCache>
            </c:numRef>
          </c:val>
          <c:extLst>
            <c:ext xmlns:c16="http://schemas.microsoft.com/office/drawing/2014/chart" uri="{C3380CC4-5D6E-409C-BE32-E72D297353CC}">
              <c16:uniqueId val="{00000003-07FE-4658-8934-CEEE90AEB02C}"/>
            </c:ext>
          </c:extLst>
        </c:ser>
        <c:ser>
          <c:idx val="4"/>
          <c:order val="4"/>
          <c:tx>
            <c:v>Wind Capacity</c:v>
          </c:tx>
          <c:spPr>
            <a:solidFill>
              <a:srgbClr val="00B05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1970-2022'!$B$87:$BD$87</c:f>
              <c:numCache>
                <c:formatCode>General</c:formatCode>
                <c:ptCount val="55"/>
                <c:pt idx="0">
                  <c:v>0</c:v>
                </c:pt>
                <c:pt idx="34">
                  <c:v>0</c:v>
                </c:pt>
                <c:pt idx="35">
                  <c:v>136.9</c:v>
                </c:pt>
                <c:pt idx="36">
                  <c:v>145.9</c:v>
                </c:pt>
                <c:pt idx="37">
                  <c:v>167.9</c:v>
                </c:pt>
                <c:pt idx="38">
                  <c:v>167.9</c:v>
                </c:pt>
                <c:pt idx="39">
                  <c:v>167.9</c:v>
                </c:pt>
                <c:pt idx="40">
                  <c:v>387.9</c:v>
                </c:pt>
                <c:pt idx="41">
                  <c:v>387.9</c:v>
                </c:pt>
                <c:pt idx="42">
                  <c:v>626.5</c:v>
                </c:pt>
                <c:pt idx="43">
                  <c:v>646.5</c:v>
                </c:pt>
                <c:pt idx="44">
                  <c:v>666.2</c:v>
                </c:pt>
                <c:pt idx="45">
                  <c:v>666.2</c:v>
                </c:pt>
                <c:pt idx="46">
                  <c:v>691.2</c:v>
                </c:pt>
                <c:pt idx="47">
                  <c:v>691.2</c:v>
                </c:pt>
                <c:pt idx="48">
                  <c:v>805.9000000000002</c:v>
                </c:pt>
                <c:pt idx="49">
                  <c:v>805.9000000000002</c:v>
                </c:pt>
                <c:pt idx="50">
                  <c:v>885.9000000000002</c:v>
                </c:pt>
                <c:pt idx="51">
                  <c:v>883.60000000000014</c:v>
                </c:pt>
                <c:pt idx="52">
                  <c:v>1473.6000000000001</c:v>
                </c:pt>
                <c:pt idx="53">
                  <c:v>1773.6000000000001</c:v>
                </c:pt>
                <c:pt idx="54">
                  <c:v>1873.6000000000001</c:v>
                </c:pt>
              </c:numCache>
            </c:numRef>
          </c:val>
          <c:extLst>
            <c:ext xmlns:c16="http://schemas.microsoft.com/office/drawing/2014/chart" uri="{C3380CC4-5D6E-409C-BE32-E72D297353CC}">
              <c16:uniqueId val="{00000004-07FE-4658-8934-CEEE90AEB02C}"/>
            </c:ext>
          </c:extLst>
        </c:ser>
        <c:ser>
          <c:idx val="5"/>
          <c:order val="5"/>
          <c:tx>
            <c:v>Solar Capacity</c:v>
          </c:tx>
          <c:spPr>
            <a:solidFill>
              <a:srgbClr val="FFFF0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1970-2022'!$B$99:$BD$99</c:f>
              <c:numCache>
                <c:formatCode>General</c:formatCode>
                <c:ptCount val="55"/>
                <c:pt idx="0">
                  <c:v>0</c:v>
                </c:pt>
                <c:pt idx="46">
                  <c:v>8</c:v>
                </c:pt>
                <c:pt idx="47">
                  <c:v>17</c:v>
                </c:pt>
                <c:pt idx="48">
                  <c:v>17</c:v>
                </c:pt>
                <c:pt idx="49">
                  <c:v>17</c:v>
                </c:pt>
                <c:pt idx="50">
                  <c:v>17</c:v>
                </c:pt>
                <c:pt idx="51">
                  <c:v>17</c:v>
                </c:pt>
                <c:pt idx="52">
                  <c:v>97</c:v>
                </c:pt>
                <c:pt idx="53">
                  <c:v>177</c:v>
                </c:pt>
                <c:pt idx="54">
                  <c:v>177</c:v>
                </c:pt>
              </c:numCache>
            </c:numRef>
          </c:val>
          <c:extLst>
            <c:ext xmlns:c16="http://schemas.microsoft.com/office/drawing/2014/chart" uri="{C3380CC4-5D6E-409C-BE32-E72D297353CC}">
              <c16:uniqueId val="{00000005-07FE-4658-8934-CEEE90AEB02C}"/>
            </c:ext>
          </c:extLst>
        </c:ser>
        <c:ser>
          <c:idx val="6"/>
          <c:order val="6"/>
          <c:tx>
            <c:v>Other Capacity</c:v>
          </c:tx>
          <c:spPr>
            <a:solidFill>
              <a:srgbClr val="CC0099"/>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1970-2022'!$B$107:$BD$107</c:f>
              <c:numCache>
                <c:formatCode>General</c:formatCode>
                <c:ptCount val="55"/>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pt idx="49">
                  <c:v>9.6</c:v>
                </c:pt>
                <c:pt idx="50">
                  <c:v>9.6</c:v>
                </c:pt>
                <c:pt idx="51">
                  <c:v>9.6</c:v>
                </c:pt>
                <c:pt idx="52">
                  <c:v>9.6</c:v>
                </c:pt>
                <c:pt idx="53">
                  <c:v>11.2</c:v>
                </c:pt>
                <c:pt idx="54">
                  <c:v>11.2</c:v>
                </c:pt>
              </c:numCache>
            </c:numRef>
          </c:val>
          <c:extLst>
            <c:ext xmlns:c16="http://schemas.microsoft.com/office/drawing/2014/chart" uri="{C3380CC4-5D6E-409C-BE32-E72D297353CC}">
              <c16:uniqueId val="{00000006-07FE-4658-8934-CEEE90AEB02C}"/>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tickLblSkip val="1"/>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Generation by Largest In-State Plant Owners, Five Year Average, 2016-2020 (Average Percentage of Montana Total for Companies That Have Over 15 aMW generation)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'Table E3'!$X$8</c:f>
              <c:strCache>
                <c:ptCount val="1"/>
                <c:pt idx="0">
                  <c:v>2016-2020</c:v>
                </c:pt>
              </c:strCache>
            </c:strRef>
          </c:tx>
          <c:dPt>
            <c:idx val="0"/>
            <c:bubble3D val="0"/>
            <c:spPr>
              <a:solidFill>
                <a:schemeClr val="accent1"/>
              </a:solidFill>
              <a:ln>
                <a:noFill/>
              </a:ln>
              <a:effectLst/>
            </c:spPr>
            <c:extLst>
              <c:ext xmlns:c16="http://schemas.microsoft.com/office/drawing/2014/chart" uri="{C3380CC4-5D6E-409C-BE32-E72D297353CC}">
                <c16:uniqueId val="{00000001-2D22-4644-A12A-159939EBA9E9}"/>
              </c:ext>
            </c:extLst>
          </c:dPt>
          <c:dPt>
            <c:idx val="1"/>
            <c:bubble3D val="0"/>
            <c:spPr>
              <a:solidFill>
                <a:schemeClr val="accent2"/>
              </a:solidFill>
              <a:ln>
                <a:noFill/>
              </a:ln>
              <a:effectLst/>
            </c:spPr>
            <c:extLst>
              <c:ext xmlns:c16="http://schemas.microsoft.com/office/drawing/2014/chart" uri="{C3380CC4-5D6E-409C-BE32-E72D297353CC}">
                <c16:uniqueId val="{00000003-2D22-4644-A12A-159939EBA9E9}"/>
              </c:ext>
            </c:extLst>
          </c:dPt>
          <c:dPt>
            <c:idx val="2"/>
            <c:bubble3D val="0"/>
            <c:spPr>
              <a:solidFill>
                <a:schemeClr val="accent3"/>
              </a:solidFill>
              <a:ln>
                <a:noFill/>
              </a:ln>
              <a:effectLst/>
            </c:spPr>
            <c:extLst>
              <c:ext xmlns:c16="http://schemas.microsoft.com/office/drawing/2014/chart" uri="{C3380CC4-5D6E-409C-BE32-E72D297353CC}">
                <c16:uniqueId val="{00000005-2D22-4644-A12A-159939EBA9E9}"/>
              </c:ext>
            </c:extLst>
          </c:dPt>
          <c:dPt>
            <c:idx val="3"/>
            <c:bubble3D val="0"/>
            <c:spPr>
              <a:solidFill>
                <a:schemeClr val="accent4"/>
              </a:solidFill>
              <a:ln>
                <a:noFill/>
              </a:ln>
              <a:effectLst/>
            </c:spPr>
            <c:extLst>
              <c:ext xmlns:c16="http://schemas.microsoft.com/office/drawing/2014/chart" uri="{C3380CC4-5D6E-409C-BE32-E72D297353CC}">
                <c16:uniqueId val="{00000007-2D22-4644-A12A-159939EBA9E9}"/>
              </c:ext>
            </c:extLst>
          </c:dPt>
          <c:dPt>
            <c:idx val="4"/>
            <c:bubble3D val="0"/>
            <c:spPr>
              <a:solidFill>
                <a:schemeClr val="accent5"/>
              </a:solidFill>
              <a:ln>
                <a:noFill/>
              </a:ln>
              <a:effectLst/>
            </c:spPr>
            <c:extLst>
              <c:ext xmlns:c16="http://schemas.microsoft.com/office/drawing/2014/chart" uri="{C3380CC4-5D6E-409C-BE32-E72D297353CC}">
                <c16:uniqueId val="{00000009-2D22-4644-A12A-159939EBA9E9}"/>
              </c:ext>
            </c:extLst>
          </c:dPt>
          <c:dPt>
            <c:idx val="5"/>
            <c:bubble3D val="0"/>
            <c:spPr>
              <a:solidFill>
                <a:schemeClr val="accent6"/>
              </a:solidFill>
              <a:ln>
                <a:noFill/>
              </a:ln>
              <a:effectLst/>
            </c:spPr>
            <c:extLst>
              <c:ext xmlns:c16="http://schemas.microsoft.com/office/drawing/2014/chart" uri="{C3380CC4-5D6E-409C-BE32-E72D297353CC}">
                <c16:uniqueId val="{0000000B-2D22-4644-A12A-159939EBA9E9}"/>
              </c:ext>
            </c:extLst>
          </c:dPt>
          <c:dPt>
            <c:idx val="6"/>
            <c:bubble3D val="0"/>
            <c:spPr>
              <a:solidFill>
                <a:srgbClr val="FFFF00"/>
              </a:solidFill>
              <a:ln>
                <a:noFill/>
              </a:ln>
              <a:effectLst/>
            </c:spPr>
            <c:extLst>
              <c:ext xmlns:c16="http://schemas.microsoft.com/office/drawing/2014/chart" uri="{C3380CC4-5D6E-409C-BE32-E72D297353CC}">
                <c16:uniqueId val="{00000000-0C3C-411B-BB6D-07F753886F12}"/>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1-0C3C-411B-BB6D-07F753886F12}"/>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2D22-4644-A12A-159939EBA9E9}"/>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02-0C3C-411B-BB6D-07F753886F12}"/>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2D22-4644-A12A-159939EBA9E9}"/>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2D22-4644-A12A-159939EBA9E9}"/>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2D22-4644-A12A-159939EBA9E9}"/>
              </c:ext>
            </c:extLst>
          </c:dPt>
          <c:dPt>
            <c:idx val="13"/>
            <c:bubble3D val="0"/>
            <c:spPr>
              <a:solidFill>
                <a:schemeClr val="accent2">
                  <a:lumMod val="80000"/>
                  <a:lumOff val="20000"/>
                </a:schemeClr>
              </a:solidFill>
              <a:ln>
                <a:noFill/>
              </a:ln>
              <a:effectLst/>
            </c:spPr>
            <c:extLst>
              <c:ext xmlns:c16="http://schemas.microsoft.com/office/drawing/2014/chart" uri="{C3380CC4-5D6E-409C-BE32-E72D297353CC}">
                <c16:uniqueId val="{0000001B-2D22-4644-A12A-159939EBA9E9}"/>
              </c:ext>
            </c:extLst>
          </c:dPt>
          <c:dPt>
            <c:idx val="14"/>
            <c:bubble3D val="0"/>
            <c:spPr>
              <a:solidFill>
                <a:schemeClr val="accent3">
                  <a:lumMod val="80000"/>
                  <a:lumOff val="20000"/>
                </a:schemeClr>
              </a:solidFill>
              <a:ln>
                <a:noFill/>
              </a:ln>
              <a:effectLst/>
            </c:spPr>
            <c:extLst>
              <c:ext xmlns:c16="http://schemas.microsoft.com/office/drawing/2014/chart" uri="{C3380CC4-5D6E-409C-BE32-E72D297353CC}">
                <c16:uniqueId val="{0000001D-2D22-4644-A12A-159939EBA9E9}"/>
              </c:ext>
            </c:extLst>
          </c:dPt>
          <c:dLbls>
            <c:dLbl>
              <c:idx val="7"/>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0C3C-411B-BB6D-07F753886F12}"/>
                </c:ext>
              </c:extLst>
            </c:dLbl>
            <c:dLbl>
              <c:idx val="9"/>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2-0C3C-411B-BB6D-07F753886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E3'!$S$9:$S$23</c:f>
              <c:strCache>
                <c:ptCount val="15"/>
                <c:pt idx="0">
                  <c:v>NorthWestern Energy</c:v>
                </c:pt>
                <c:pt idx="1">
                  <c:v>Avista</c:v>
                </c:pt>
                <c:pt idx="2">
                  <c:v>Puget Sound</c:v>
                </c:pt>
                <c:pt idx="3">
                  <c:v>BPA (federally owned)</c:v>
                </c:pt>
                <c:pt idx="4">
                  <c:v>Portland Gas &amp; Elec</c:v>
                </c:pt>
                <c:pt idx="5">
                  <c:v>WAPA</c:v>
                </c:pt>
                <c:pt idx="6">
                  <c:v>Talen/(PPL until 2015)</c:v>
                </c:pt>
                <c:pt idx="7">
                  <c:v>Pacificorp</c:v>
                </c:pt>
                <c:pt idx="8">
                  <c:v>Bershire Hathaway (Naturaner)</c:v>
                </c:pt>
                <c:pt idx="9">
                  <c:v>Energy Keepers </c:v>
                </c:pt>
                <c:pt idx="10">
                  <c:v>Invenergy</c:v>
                </c:pt>
                <c:pt idx="11">
                  <c:v>YELP</c:v>
                </c:pt>
                <c:pt idx="12">
                  <c:v>MDU</c:v>
                </c:pt>
                <c:pt idx="13">
                  <c:v>Big Horn Data</c:v>
                </c:pt>
                <c:pt idx="14">
                  <c:v>Other</c:v>
                </c:pt>
              </c:strCache>
            </c:strRef>
          </c:cat>
          <c:val>
            <c:numRef>
              <c:f>'Table E3'!$X$9:$X$23</c:f>
              <c:numCache>
                <c:formatCode>General</c:formatCode>
                <c:ptCount val="15"/>
                <c:pt idx="0">
                  <c:v>501.22391109916128</c:v>
                </c:pt>
                <c:pt idx="1">
                  <c:v>403.58010502283105</c:v>
                </c:pt>
                <c:pt idx="2">
                  <c:v>346.43940639269408</c:v>
                </c:pt>
                <c:pt idx="3">
                  <c:v>338.78408675799085</c:v>
                </c:pt>
                <c:pt idx="4">
                  <c:v>277.15152511415528</c:v>
                </c:pt>
                <c:pt idx="5">
                  <c:v>260.8959132420091</c:v>
                </c:pt>
                <c:pt idx="6">
                  <c:v>207.86364383561644</c:v>
                </c:pt>
                <c:pt idx="7">
                  <c:v>141.57343378995435</c:v>
                </c:pt>
                <c:pt idx="8">
                  <c:v>137.88089589041095</c:v>
                </c:pt>
                <c:pt idx="9">
                  <c:v>104.98986301369862</c:v>
                </c:pt>
                <c:pt idx="10">
                  <c:v>52.978470319634702</c:v>
                </c:pt>
                <c:pt idx="11">
                  <c:v>51.904704611872141</c:v>
                </c:pt>
                <c:pt idx="12">
                  <c:v>39.47050228310502</c:v>
                </c:pt>
                <c:pt idx="13">
                  <c:v>18.349634703196347</c:v>
                </c:pt>
                <c:pt idx="14">
                  <c:v>141.44233179604259</c:v>
                </c:pt>
              </c:numCache>
            </c:numRef>
          </c:val>
          <c:extLst>
            <c:ext xmlns:c16="http://schemas.microsoft.com/office/drawing/2014/chart" uri="{C3380CC4-5D6E-409C-BE32-E72D297353CC}">
              <c16:uniqueId val="{00000003-C1BA-4F4A-BF2D-7B723B5E1290}"/>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'Table E3'!$T$8</c15:sqref>
                        </c15:formulaRef>
                      </c:ext>
                    </c:extLst>
                    <c:strCache>
                      <c:ptCount val="1"/>
                      <c:pt idx="0">
                        <c:v>1995-1999</c:v>
                      </c:pt>
                    </c:strCache>
                  </c:strRef>
                </c:tx>
                <c:dPt>
                  <c:idx val="0"/>
                  <c:bubble3D val="0"/>
                  <c:spPr>
                    <a:solidFill>
                      <a:schemeClr val="accent1"/>
                    </a:solidFill>
                    <a:ln>
                      <a:noFill/>
                    </a:ln>
                    <a:effectLst/>
                  </c:spPr>
                  <c:extLst>
                    <c:ext xmlns:c16="http://schemas.microsoft.com/office/drawing/2014/chart" uri="{C3380CC4-5D6E-409C-BE32-E72D297353CC}">
                      <c16:uniqueId val="{0000001F-2D22-4644-A12A-159939EBA9E9}"/>
                    </c:ext>
                  </c:extLst>
                </c:dPt>
                <c:dPt>
                  <c:idx val="1"/>
                  <c:bubble3D val="0"/>
                  <c:spPr>
                    <a:solidFill>
                      <a:schemeClr val="accent2"/>
                    </a:solidFill>
                    <a:ln>
                      <a:noFill/>
                    </a:ln>
                    <a:effectLst/>
                  </c:spPr>
                  <c:extLst>
                    <c:ext xmlns:c16="http://schemas.microsoft.com/office/drawing/2014/chart" uri="{C3380CC4-5D6E-409C-BE32-E72D297353CC}">
                      <c16:uniqueId val="{00000021-2D22-4644-A12A-159939EBA9E9}"/>
                    </c:ext>
                  </c:extLst>
                </c:dPt>
                <c:dPt>
                  <c:idx val="2"/>
                  <c:bubble3D val="0"/>
                  <c:spPr>
                    <a:solidFill>
                      <a:schemeClr val="accent3"/>
                    </a:solidFill>
                    <a:ln>
                      <a:noFill/>
                    </a:ln>
                    <a:effectLst/>
                  </c:spPr>
                  <c:extLst>
                    <c:ext xmlns:c16="http://schemas.microsoft.com/office/drawing/2014/chart" uri="{C3380CC4-5D6E-409C-BE32-E72D297353CC}">
                      <c16:uniqueId val="{00000023-2D22-4644-A12A-159939EBA9E9}"/>
                    </c:ext>
                  </c:extLst>
                </c:dPt>
                <c:dPt>
                  <c:idx val="3"/>
                  <c:bubble3D val="0"/>
                  <c:spPr>
                    <a:solidFill>
                      <a:schemeClr val="accent4"/>
                    </a:solidFill>
                    <a:ln>
                      <a:noFill/>
                    </a:ln>
                    <a:effectLst/>
                  </c:spPr>
                  <c:extLst>
                    <c:ext xmlns:c16="http://schemas.microsoft.com/office/drawing/2014/chart" uri="{C3380CC4-5D6E-409C-BE32-E72D297353CC}">
                      <c16:uniqueId val="{00000025-2D22-4644-A12A-159939EBA9E9}"/>
                    </c:ext>
                  </c:extLst>
                </c:dPt>
                <c:dPt>
                  <c:idx val="4"/>
                  <c:bubble3D val="0"/>
                  <c:spPr>
                    <a:solidFill>
                      <a:schemeClr val="accent5"/>
                    </a:solidFill>
                    <a:ln>
                      <a:noFill/>
                    </a:ln>
                    <a:effectLst/>
                  </c:spPr>
                  <c:extLst>
                    <c:ext xmlns:c16="http://schemas.microsoft.com/office/drawing/2014/chart" uri="{C3380CC4-5D6E-409C-BE32-E72D297353CC}">
                      <c16:uniqueId val="{00000027-2D22-4644-A12A-159939EBA9E9}"/>
                    </c:ext>
                  </c:extLst>
                </c:dPt>
                <c:dPt>
                  <c:idx val="5"/>
                  <c:bubble3D val="0"/>
                  <c:spPr>
                    <a:solidFill>
                      <a:schemeClr val="accent6"/>
                    </a:solidFill>
                    <a:ln>
                      <a:noFill/>
                    </a:ln>
                    <a:effectLst/>
                  </c:spPr>
                  <c:extLst>
                    <c:ext xmlns:c16="http://schemas.microsoft.com/office/drawing/2014/chart" uri="{C3380CC4-5D6E-409C-BE32-E72D297353CC}">
                      <c16:uniqueId val="{00000029-2D22-4644-A12A-159939EBA9E9}"/>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2B-2D22-4644-A12A-159939EBA9E9}"/>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2D-2D22-4644-A12A-159939EBA9E9}"/>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2F-2D22-4644-A12A-159939EBA9E9}"/>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31-2D22-4644-A12A-159939EBA9E9}"/>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33-2D22-4644-A12A-159939EBA9E9}"/>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35-2D22-4644-A12A-159939EBA9E9}"/>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37-2D22-4644-A12A-159939EBA9E9}"/>
                    </c:ext>
                  </c:extLst>
                </c:dPt>
                <c:dPt>
                  <c:idx val="13"/>
                  <c:bubble3D val="0"/>
                  <c:spPr>
                    <a:solidFill>
                      <a:schemeClr val="accent2">
                        <a:lumMod val="80000"/>
                        <a:lumOff val="20000"/>
                      </a:schemeClr>
                    </a:solidFill>
                    <a:ln>
                      <a:noFill/>
                    </a:ln>
                    <a:effectLst/>
                  </c:spPr>
                  <c:extLst>
                    <c:ext xmlns:c16="http://schemas.microsoft.com/office/drawing/2014/chart" uri="{C3380CC4-5D6E-409C-BE32-E72D297353CC}">
                      <c16:uniqueId val="{00000039-2D22-4644-A12A-159939EBA9E9}"/>
                    </c:ext>
                  </c:extLst>
                </c:dPt>
                <c:dPt>
                  <c:idx val="14"/>
                  <c:bubble3D val="0"/>
                  <c:spPr>
                    <a:solidFill>
                      <a:schemeClr val="accent3">
                        <a:lumMod val="80000"/>
                        <a:lumOff val="20000"/>
                      </a:schemeClr>
                    </a:solidFill>
                    <a:ln>
                      <a:noFill/>
                    </a:ln>
                    <a:effectLst/>
                  </c:spPr>
                  <c:extLst>
                    <c:ext xmlns:c16="http://schemas.microsoft.com/office/drawing/2014/chart" uri="{C3380CC4-5D6E-409C-BE32-E72D297353CC}">
                      <c16:uniqueId val="{0000003B-2D22-4644-A12A-159939EBA9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'Table E3'!$S$9:$S$23</c15:sqref>
                        </c15:formulaRef>
                      </c:ext>
                    </c:extLst>
                    <c:strCache>
                      <c:ptCount val="15"/>
                      <c:pt idx="0">
                        <c:v>NorthWestern Energy</c:v>
                      </c:pt>
                      <c:pt idx="1">
                        <c:v>Avista</c:v>
                      </c:pt>
                      <c:pt idx="2">
                        <c:v>Puget Sound</c:v>
                      </c:pt>
                      <c:pt idx="3">
                        <c:v>BPA (federally owned)</c:v>
                      </c:pt>
                      <c:pt idx="4">
                        <c:v>Portland Gas &amp; Elec</c:v>
                      </c:pt>
                      <c:pt idx="5">
                        <c:v>WAPA</c:v>
                      </c:pt>
                      <c:pt idx="6">
                        <c:v>Talen/(PPL until 2015)</c:v>
                      </c:pt>
                      <c:pt idx="7">
                        <c:v>Pacificorp</c:v>
                      </c:pt>
                      <c:pt idx="8">
                        <c:v>Bershire Hathaway (Naturaner)</c:v>
                      </c:pt>
                      <c:pt idx="9">
                        <c:v>Energy Keepers </c:v>
                      </c:pt>
                      <c:pt idx="10">
                        <c:v>Invenergy</c:v>
                      </c:pt>
                      <c:pt idx="11">
                        <c:v>YELP</c:v>
                      </c:pt>
                      <c:pt idx="12">
                        <c:v>MDU</c:v>
                      </c:pt>
                      <c:pt idx="13">
                        <c:v>Big Horn Data</c:v>
                      </c:pt>
                      <c:pt idx="14">
                        <c:v>Other</c:v>
                      </c:pt>
                    </c:strCache>
                  </c:strRef>
                </c:cat>
                <c:val>
                  <c:numRef>
                    <c:extLst>
                      <c:ext uri="{02D57815-91ED-43cb-92C2-25804820EDAC}">
                        <c15:formulaRef>
                          <c15:sqref>'Table E3'!$T$9:$T$23</c15:sqref>
                        </c15:formulaRef>
                      </c:ext>
                    </c:extLst>
                    <c:numCache>
                      <c:formatCode>General</c:formatCode>
                      <c:ptCount val="15"/>
                      <c:pt idx="0">
                        <c:v>169</c:v>
                      </c:pt>
                      <c:pt idx="1">
                        <c:v>403.1</c:v>
                      </c:pt>
                      <c:pt idx="2">
                        <c:v>509</c:v>
                      </c:pt>
                      <c:pt idx="3">
                        <c:v>381.7</c:v>
                      </c:pt>
                      <c:pt idx="4">
                        <c:v>222.5</c:v>
                      </c:pt>
                      <c:pt idx="5">
                        <c:v>322.7</c:v>
                      </c:pt>
                      <c:pt idx="6">
                        <c:v>939.5</c:v>
                      </c:pt>
                      <c:pt idx="7">
                        <c:v>113.5</c:v>
                      </c:pt>
                      <c:pt idx="8">
                        <c:v>0</c:v>
                      </c:pt>
                      <c:pt idx="9">
                        <c:v>0</c:v>
                      </c:pt>
                      <c:pt idx="10">
                        <c:v>0</c:v>
                      </c:pt>
                      <c:pt idx="11">
                        <c:v>46.9</c:v>
                      </c:pt>
                      <c:pt idx="12">
                        <c:v>27.9</c:v>
                      </c:pt>
                      <c:pt idx="13">
                        <c:v>0</c:v>
                      </c:pt>
                      <c:pt idx="14">
                        <c:v>41.5</c:v>
                      </c:pt>
                    </c:numCache>
                  </c:numRef>
                </c:val>
                <c:extLst>
                  <c:ext xmlns:c16="http://schemas.microsoft.com/office/drawing/2014/chart" uri="{C3380CC4-5D6E-409C-BE32-E72D297353CC}">
                    <c16:uniqueId val="{00000000-B168-48D5-8CF7-0FB7AB1AB1D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'Table E3'!$U$8</c15:sqref>
                        </c15:formulaRef>
                      </c:ext>
                    </c:extLst>
                    <c:strCache>
                      <c:ptCount val="1"/>
                      <c:pt idx="0">
                        <c:v>2001-2005</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2D22-4644-A12A-159939EBA9E9}"/>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2D22-4644-A12A-159939EBA9E9}"/>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2D22-4644-A12A-159939EBA9E9}"/>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2D22-4644-A12A-159939EBA9E9}"/>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2D22-4644-A12A-159939EBA9E9}"/>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47-2D22-4644-A12A-159939EBA9E9}"/>
                    </c:ext>
                  </c:extLst>
                </c:dPt>
                <c:dPt>
                  <c:idx val="6"/>
                  <c:bubble3D val="0"/>
                  <c:spPr>
                    <a:solidFill>
                      <a:schemeClr val="accent1">
                        <a:lumMod val="60000"/>
                      </a:schemeClr>
                    </a:solidFill>
                    <a:ln>
                      <a:noFill/>
                    </a:ln>
                    <a:effectLst/>
                  </c:spPr>
                  <c:extLst xmlns:c15="http://schemas.microsoft.com/office/drawing/2012/chart">
                    <c:ext xmlns:c16="http://schemas.microsoft.com/office/drawing/2014/chart" uri="{C3380CC4-5D6E-409C-BE32-E72D297353CC}">
                      <c16:uniqueId val="{00000049-2D22-4644-A12A-159939EBA9E9}"/>
                    </c:ext>
                  </c:extLst>
                </c:dPt>
                <c:dPt>
                  <c:idx val="7"/>
                  <c:bubble3D val="0"/>
                  <c:spPr>
                    <a:solidFill>
                      <a:schemeClr val="accent2">
                        <a:lumMod val="60000"/>
                      </a:schemeClr>
                    </a:solidFill>
                    <a:ln>
                      <a:noFill/>
                    </a:ln>
                    <a:effectLst/>
                  </c:spPr>
                  <c:extLst xmlns:c15="http://schemas.microsoft.com/office/drawing/2012/chart">
                    <c:ext xmlns:c16="http://schemas.microsoft.com/office/drawing/2014/chart" uri="{C3380CC4-5D6E-409C-BE32-E72D297353CC}">
                      <c16:uniqueId val="{0000004B-2D22-4644-A12A-159939EBA9E9}"/>
                    </c:ext>
                  </c:extLst>
                </c:dPt>
                <c:dPt>
                  <c:idx val="8"/>
                  <c:bubble3D val="0"/>
                  <c:spPr>
                    <a:solidFill>
                      <a:schemeClr val="accent3">
                        <a:lumMod val="60000"/>
                      </a:schemeClr>
                    </a:solidFill>
                    <a:ln>
                      <a:noFill/>
                    </a:ln>
                    <a:effectLst/>
                  </c:spPr>
                  <c:extLst xmlns:c15="http://schemas.microsoft.com/office/drawing/2012/chart">
                    <c:ext xmlns:c16="http://schemas.microsoft.com/office/drawing/2014/chart" uri="{C3380CC4-5D6E-409C-BE32-E72D297353CC}">
                      <c16:uniqueId val="{0000004D-2D22-4644-A12A-159939EBA9E9}"/>
                    </c:ext>
                  </c:extLst>
                </c:dPt>
                <c:dPt>
                  <c:idx val="9"/>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4F-2D22-4644-A12A-159939EBA9E9}"/>
                    </c:ext>
                  </c:extLst>
                </c:dPt>
                <c:dPt>
                  <c:idx val="10"/>
                  <c:bubble3D val="0"/>
                  <c:spPr>
                    <a:solidFill>
                      <a:schemeClr val="accent5">
                        <a:lumMod val="60000"/>
                      </a:schemeClr>
                    </a:solidFill>
                    <a:ln>
                      <a:noFill/>
                    </a:ln>
                    <a:effectLst/>
                  </c:spPr>
                  <c:extLst xmlns:c15="http://schemas.microsoft.com/office/drawing/2012/chart">
                    <c:ext xmlns:c16="http://schemas.microsoft.com/office/drawing/2014/chart" uri="{C3380CC4-5D6E-409C-BE32-E72D297353CC}">
                      <c16:uniqueId val="{00000051-2D22-4644-A12A-159939EBA9E9}"/>
                    </c:ext>
                  </c:extLst>
                </c:dPt>
                <c:dPt>
                  <c:idx val="11"/>
                  <c:bubble3D val="0"/>
                  <c:spPr>
                    <a:solidFill>
                      <a:schemeClr val="accent6">
                        <a:lumMod val="60000"/>
                      </a:schemeClr>
                    </a:solidFill>
                    <a:ln>
                      <a:noFill/>
                    </a:ln>
                    <a:effectLst/>
                  </c:spPr>
                  <c:extLst xmlns:c15="http://schemas.microsoft.com/office/drawing/2012/chart">
                    <c:ext xmlns:c16="http://schemas.microsoft.com/office/drawing/2014/chart" uri="{C3380CC4-5D6E-409C-BE32-E72D297353CC}">
                      <c16:uniqueId val="{00000053-2D22-4644-A12A-159939EBA9E9}"/>
                    </c:ext>
                  </c:extLst>
                </c:dPt>
                <c:dPt>
                  <c:idx val="12"/>
                  <c:bubble3D val="0"/>
                  <c:spPr>
                    <a:solidFill>
                      <a:schemeClr val="accent1">
                        <a:lumMod val="80000"/>
                        <a:lumOff val="20000"/>
                      </a:schemeClr>
                    </a:solidFill>
                    <a:ln>
                      <a:noFill/>
                    </a:ln>
                    <a:effectLst/>
                  </c:spPr>
                  <c:extLst xmlns:c15="http://schemas.microsoft.com/office/drawing/2012/chart">
                    <c:ext xmlns:c16="http://schemas.microsoft.com/office/drawing/2014/chart" uri="{C3380CC4-5D6E-409C-BE32-E72D297353CC}">
                      <c16:uniqueId val="{00000055-2D22-4644-A12A-159939EBA9E9}"/>
                    </c:ext>
                  </c:extLst>
                </c:dPt>
                <c:dPt>
                  <c:idx val="13"/>
                  <c:bubble3D val="0"/>
                  <c:spPr>
                    <a:solidFill>
                      <a:schemeClr val="accent2">
                        <a:lumMod val="80000"/>
                        <a:lumOff val="20000"/>
                      </a:schemeClr>
                    </a:solidFill>
                    <a:ln>
                      <a:noFill/>
                    </a:ln>
                    <a:effectLst/>
                  </c:spPr>
                  <c:extLst xmlns:c15="http://schemas.microsoft.com/office/drawing/2012/chart">
                    <c:ext xmlns:c16="http://schemas.microsoft.com/office/drawing/2014/chart" uri="{C3380CC4-5D6E-409C-BE32-E72D297353CC}">
                      <c16:uniqueId val="{00000057-2D22-4644-A12A-159939EBA9E9}"/>
                    </c:ext>
                  </c:extLst>
                </c:dPt>
                <c:dPt>
                  <c:idx val="14"/>
                  <c:bubble3D val="0"/>
                  <c:spPr>
                    <a:solidFill>
                      <a:schemeClr val="accent3">
                        <a:lumMod val="80000"/>
                        <a:lumOff val="20000"/>
                      </a:schemeClr>
                    </a:solidFill>
                    <a:ln>
                      <a:noFill/>
                    </a:ln>
                    <a:effectLst/>
                  </c:spPr>
                  <c:extLst xmlns:c15="http://schemas.microsoft.com/office/drawing/2012/chart">
                    <c:ext xmlns:c16="http://schemas.microsoft.com/office/drawing/2014/chart" uri="{C3380CC4-5D6E-409C-BE32-E72D297353CC}">
                      <c16:uniqueId val="{00000059-2D22-4644-A12A-159939EBA9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'Table E3'!$S$9:$S$23</c15:sqref>
                        </c15:formulaRef>
                      </c:ext>
                    </c:extLst>
                    <c:strCache>
                      <c:ptCount val="15"/>
                      <c:pt idx="0">
                        <c:v>NorthWestern Energy</c:v>
                      </c:pt>
                      <c:pt idx="1">
                        <c:v>Avista</c:v>
                      </c:pt>
                      <c:pt idx="2">
                        <c:v>Puget Sound</c:v>
                      </c:pt>
                      <c:pt idx="3">
                        <c:v>BPA (federally owned)</c:v>
                      </c:pt>
                      <c:pt idx="4">
                        <c:v>Portland Gas &amp; Elec</c:v>
                      </c:pt>
                      <c:pt idx="5">
                        <c:v>WAPA</c:v>
                      </c:pt>
                      <c:pt idx="6">
                        <c:v>Talen/(PPL until 2015)</c:v>
                      </c:pt>
                      <c:pt idx="7">
                        <c:v>Pacificorp</c:v>
                      </c:pt>
                      <c:pt idx="8">
                        <c:v>Bershire Hathaway (Naturaner)</c:v>
                      </c:pt>
                      <c:pt idx="9">
                        <c:v>Energy Keepers </c:v>
                      </c:pt>
                      <c:pt idx="10">
                        <c:v>Invenergy</c:v>
                      </c:pt>
                      <c:pt idx="11">
                        <c:v>YELP</c:v>
                      </c:pt>
                      <c:pt idx="12">
                        <c:v>MDU</c:v>
                      </c:pt>
                      <c:pt idx="13">
                        <c:v>Big Horn Data</c:v>
                      </c:pt>
                      <c:pt idx="14">
                        <c:v>Other</c:v>
                      </c:pt>
                    </c:strCache>
                  </c:strRef>
                </c:cat>
                <c:val>
                  <c:numRef>
                    <c:extLst xmlns:c15="http://schemas.microsoft.com/office/drawing/2012/chart">
                      <c:ext xmlns:c15="http://schemas.microsoft.com/office/drawing/2012/chart" uri="{02D57815-91ED-43cb-92C2-25804820EDAC}">
                        <c15:formulaRef>
                          <c15:sqref>'Table E3'!$U$9:$U$23</c15:sqref>
                        </c15:formulaRef>
                      </c:ext>
                    </c:extLst>
                    <c:numCache>
                      <c:formatCode>General</c:formatCode>
                      <c:ptCount val="15"/>
                      <c:pt idx="0">
                        <c:v>185.61593483010822</c:v>
                      </c:pt>
                      <c:pt idx="1">
                        <c:v>356.90721336892102</c:v>
                      </c:pt>
                      <c:pt idx="2">
                        <c:v>561.77241835773441</c:v>
                      </c:pt>
                      <c:pt idx="3">
                        <c:v>309.77906392694064</c:v>
                      </c:pt>
                      <c:pt idx="4">
                        <c:v>245.61984613573028</c:v>
                      </c:pt>
                      <c:pt idx="5">
                        <c:v>157.66417671232878</c:v>
                      </c:pt>
                      <c:pt idx="6">
                        <c:v>906.8390745136137</c:v>
                      </c:pt>
                      <c:pt idx="7">
                        <c:v>125.65813904960031</c:v>
                      </c:pt>
                      <c:pt idx="8">
                        <c:v>0</c:v>
                      </c:pt>
                      <c:pt idx="9">
                        <c:v>0</c:v>
                      </c:pt>
                      <c:pt idx="10">
                        <c:v>0</c:v>
                      </c:pt>
                      <c:pt idx="11">
                        <c:v>45.621619611872148</c:v>
                      </c:pt>
                      <c:pt idx="12">
                        <c:v>36.780355936073057</c:v>
                      </c:pt>
                      <c:pt idx="13">
                        <c:v>0</c:v>
                      </c:pt>
                      <c:pt idx="14">
                        <c:v>44.915385981735149</c:v>
                      </c:pt>
                    </c:numCache>
                  </c:numRef>
                </c:val>
                <c:extLst xmlns:c15="http://schemas.microsoft.com/office/drawing/2012/chart">
                  <c:ext xmlns:c16="http://schemas.microsoft.com/office/drawing/2014/chart" uri="{C3380CC4-5D6E-409C-BE32-E72D297353CC}">
                    <c16:uniqueId val="{00000000-C1BA-4F4A-BF2D-7B723B5E129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'Table E3'!$V$8</c15:sqref>
                        </c15:formulaRef>
                      </c:ext>
                    </c:extLst>
                    <c:strCache>
                      <c:ptCount val="1"/>
                      <c:pt idx="0">
                        <c:v>2006-2010</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5B-2D22-4644-A12A-159939EBA9E9}"/>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5D-2D22-4644-A12A-159939EBA9E9}"/>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5F-2D22-4644-A12A-159939EBA9E9}"/>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61-2D22-4644-A12A-159939EBA9E9}"/>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63-2D22-4644-A12A-159939EBA9E9}"/>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65-2D22-4644-A12A-159939EBA9E9}"/>
                    </c:ext>
                  </c:extLst>
                </c:dPt>
                <c:dPt>
                  <c:idx val="6"/>
                  <c:bubble3D val="0"/>
                  <c:spPr>
                    <a:solidFill>
                      <a:schemeClr val="accent1">
                        <a:lumMod val="60000"/>
                      </a:schemeClr>
                    </a:solidFill>
                    <a:ln>
                      <a:noFill/>
                    </a:ln>
                    <a:effectLst/>
                  </c:spPr>
                  <c:extLst xmlns:c15="http://schemas.microsoft.com/office/drawing/2012/chart">
                    <c:ext xmlns:c16="http://schemas.microsoft.com/office/drawing/2014/chart" uri="{C3380CC4-5D6E-409C-BE32-E72D297353CC}">
                      <c16:uniqueId val="{00000067-2D22-4644-A12A-159939EBA9E9}"/>
                    </c:ext>
                  </c:extLst>
                </c:dPt>
                <c:dPt>
                  <c:idx val="7"/>
                  <c:bubble3D val="0"/>
                  <c:spPr>
                    <a:solidFill>
                      <a:schemeClr val="accent2">
                        <a:lumMod val="60000"/>
                      </a:schemeClr>
                    </a:solidFill>
                    <a:ln>
                      <a:noFill/>
                    </a:ln>
                    <a:effectLst/>
                  </c:spPr>
                  <c:extLst xmlns:c15="http://schemas.microsoft.com/office/drawing/2012/chart">
                    <c:ext xmlns:c16="http://schemas.microsoft.com/office/drawing/2014/chart" uri="{C3380CC4-5D6E-409C-BE32-E72D297353CC}">
                      <c16:uniqueId val="{00000069-2D22-4644-A12A-159939EBA9E9}"/>
                    </c:ext>
                  </c:extLst>
                </c:dPt>
                <c:dPt>
                  <c:idx val="8"/>
                  <c:bubble3D val="0"/>
                  <c:spPr>
                    <a:solidFill>
                      <a:schemeClr val="accent3">
                        <a:lumMod val="60000"/>
                      </a:schemeClr>
                    </a:solidFill>
                    <a:ln>
                      <a:noFill/>
                    </a:ln>
                    <a:effectLst/>
                  </c:spPr>
                  <c:extLst xmlns:c15="http://schemas.microsoft.com/office/drawing/2012/chart">
                    <c:ext xmlns:c16="http://schemas.microsoft.com/office/drawing/2014/chart" uri="{C3380CC4-5D6E-409C-BE32-E72D297353CC}">
                      <c16:uniqueId val="{0000006B-2D22-4644-A12A-159939EBA9E9}"/>
                    </c:ext>
                  </c:extLst>
                </c:dPt>
                <c:dPt>
                  <c:idx val="9"/>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6D-2D22-4644-A12A-159939EBA9E9}"/>
                    </c:ext>
                  </c:extLst>
                </c:dPt>
                <c:dPt>
                  <c:idx val="10"/>
                  <c:bubble3D val="0"/>
                  <c:spPr>
                    <a:solidFill>
                      <a:schemeClr val="accent5">
                        <a:lumMod val="60000"/>
                      </a:schemeClr>
                    </a:solidFill>
                    <a:ln>
                      <a:noFill/>
                    </a:ln>
                    <a:effectLst/>
                  </c:spPr>
                  <c:extLst xmlns:c15="http://schemas.microsoft.com/office/drawing/2012/chart">
                    <c:ext xmlns:c16="http://schemas.microsoft.com/office/drawing/2014/chart" uri="{C3380CC4-5D6E-409C-BE32-E72D297353CC}">
                      <c16:uniqueId val="{0000006F-2D22-4644-A12A-159939EBA9E9}"/>
                    </c:ext>
                  </c:extLst>
                </c:dPt>
                <c:dPt>
                  <c:idx val="11"/>
                  <c:bubble3D val="0"/>
                  <c:spPr>
                    <a:solidFill>
                      <a:schemeClr val="accent6">
                        <a:lumMod val="60000"/>
                      </a:schemeClr>
                    </a:solidFill>
                    <a:ln>
                      <a:noFill/>
                    </a:ln>
                    <a:effectLst/>
                  </c:spPr>
                  <c:extLst xmlns:c15="http://schemas.microsoft.com/office/drawing/2012/chart">
                    <c:ext xmlns:c16="http://schemas.microsoft.com/office/drawing/2014/chart" uri="{C3380CC4-5D6E-409C-BE32-E72D297353CC}">
                      <c16:uniqueId val="{00000071-2D22-4644-A12A-159939EBA9E9}"/>
                    </c:ext>
                  </c:extLst>
                </c:dPt>
                <c:dPt>
                  <c:idx val="12"/>
                  <c:bubble3D val="0"/>
                  <c:spPr>
                    <a:solidFill>
                      <a:schemeClr val="accent1">
                        <a:lumMod val="80000"/>
                        <a:lumOff val="20000"/>
                      </a:schemeClr>
                    </a:solidFill>
                    <a:ln>
                      <a:noFill/>
                    </a:ln>
                    <a:effectLst/>
                  </c:spPr>
                  <c:extLst xmlns:c15="http://schemas.microsoft.com/office/drawing/2012/chart">
                    <c:ext xmlns:c16="http://schemas.microsoft.com/office/drawing/2014/chart" uri="{C3380CC4-5D6E-409C-BE32-E72D297353CC}">
                      <c16:uniqueId val="{00000073-2D22-4644-A12A-159939EBA9E9}"/>
                    </c:ext>
                  </c:extLst>
                </c:dPt>
                <c:dPt>
                  <c:idx val="13"/>
                  <c:bubble3D val="0"/>
                  <c:spPr>
                    <a:solidFill>
                      <a:schemeClr val="accent2">
                        <a:lumMod val="80000"/>
                        <a:lumOff val="20000"/>
                      </a:schemeClr>
                    </a:solidFill>
                    <a:ln>
                      <a:noFill/>
                    </a:ln>
                    <a:effectLst/>
                  </c:spPr>
                  <c:extLst xmlns:c15="http://schemas.microsoft.com/office/drawing/2012/chart">
                    <c:ext xmlns:c16="http://schemas.microsoft.com/office/drawing/2014/chart" uri="{C3380CC4-5D6E-409C-BE32-E72D297353CC}">
                      <c16:uniqueId val="{00000075-2D22-4644-A12A-159939EBA9E9}"/>
                    </c:ext>
                  </c:extLst>
                </c:dPt>
                <c:dPt>
                  <c:idx val="14"/>
                  <c:bubble3D val="0"/>
                  <c:spPr>
                    <a:solidFill>
                      <a:schemeClr val="accent3">
                        <a:lumMod val="80000"/>
                        <a:lumOff val="20000"/>
                      </a:schemeClr>
                    </a:solidFill>
                    <a:ln>
                      <a:noFill/>
                    </a:ln>
                    <a:effectLst/>
                  </c:spPr>
                  <c:extLst xmlns:c15="http://schemas.microsoft.com/office/drawing/2012/chart">
                    <c:ext xmlns:c16="http://schemas.microsoft.com/office/drawing/2014/chart" uri="{C3380CC4-5D6E-409C-BE32-E72D297353CC}">
                      <c16:uniqueId val="{00000077-2D22-4644-A12A-159939EBA9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'Table E3'!$S$9:$S$23</c15:sqref>
                        </c15:formulaRef>
                      </c:ext>
                    </c:extLst>
                    <c:strCache>
                      <c:ptCount val="15"/>
                      <c:pt idx="0">
                        <c:v>NorthWestern Energy</c:v>
                      </c:pt>
                      <c:pt idx="1">
                        <c:v>Avista</c:v>
                      </c:pt>
                      <c:pt idx="2">
                        <c:v>Puget Sound</c:v>
                      </c:pt>
                      <c:pt idx="3">
                        <c:v>BPA (federally owned)</c:v>
                      </c:pt>
                      <c:pt idx="4">
                        <c:v>Portland Gas &amp; Elec</c:v>
                      </c:pt>
                      <c:pt idx="5">
                        <c:v>WAPA</c:v>
                      </c:pt>
                      <c:pt idx="6">
                        <c:v>Talen/(PPL until 2015)</c:v>
                      </c:pt>
                      <c:pt idx="7">
                        <c:v>Pacificorp</c:v>
                      </c:pt>
                      <c:pt idx="8">
                        <c:v>Bershire Hathaway (Naturaner)</c:v>
                      </c:pt>
                      <c:pt idx="9">
                        <c:v>Energy Keepers </c:v>
                      </c:pt>
                      <c:pt idx="10">
                        <c:v>Invenergy</c:v>
                      </c:pt>
                      <c:pt idx="11">
                        <c:v>YELP</c:v>
                      </c:pt>
                      <c:pt idx="12">
                        <c:v>MDU</c:v>
                      </c:pt>
                      <c:pt idx="13">
                        <c:v>Big Horn Data</c:v>
                      </c:pt>
                      <c:pt idx="14">
                        <c:v>Other</c:v>
                      </c:pt>
                    </c:strCache>
                  </c:strRef>
                </c:cat>
                <c:val>
                  <c:numRef>
                    <c:extLst xmlns:c15="http://schemas.microsoft.com/office/drawing/2012/chart">
                      <c:ext xmlns:c15="http://schemas.microsoft.com/office/drawing/2012/chart" uri="{02D57815-91ED-43cb-92C2-25804820EDAC}">
                        <c15:formulaRef>
                          <c15:sqref>'Table E3'!$V$9:$V$23</c15:sqref>
                        </c15:formulaRef>
                      </c:ext>
                    </c:extLst>
                    <c:numCache>
                      <c:formatCode>0.0</c:formatCode>
                      <c:ptCount val="15"/>
                      <c:pt idx="0">
                        <c:v>184.363713342034</c:v>
                      </c:pt>
                      <c:pt idx="1">
                        <c:v>373.30442110459109</c:v>
                      </c:pt>
                      <c:pt idx="2">
                        <c:v>561.41654698321588</c:v>
                      </c:pt>
                      <c:pt idx="3">
                        <c:v>329.78385844748857</c:v>
                      </c:pt>
                      <c:pt idx="4">
                        <c:v>246</c:v>
                      </c:pt>
                      <c:pt idx="5">
                        <c:v>185.28739726027396</c:v>
                      </c:pt>
                      <c:pt idx="6">
                        <c:v>950.83891930618256</c:v>
                      </c:pt>
                      <c:pt idx="7">
                        <c:v>126.03411176379133</c:v>
                      </c:pt>
                      <c:pt idx="8">
                        <c:v>35.817275494672757</c:v>
                      </c:pt>
                      <c:pt idx="9">
                        <c:v>0</c:v>
                      </c:pt>
                      <c:pt idx="10">
                        <c:v>53</c:v>
                      </c:pt>
                      <c:pt idx="11">
                        <c:v>48.21313294520548</c:v>
                      </c:pt>
                      <c:pt idx="12">
                        <c:v>43.441906415525118</c:v>
                      </c:pt>
                      <c:pt idx="13">
                        <c:v>77.917762557077623</c:v>
                      </c:pt>
                      <c:pt idx="14">
                        <c:v>63</c:v>
                      </c:pt>
                    </c:numCache>
                  </c:numRef>
                </c:val>
                <c:extLst xmlns:c15="http://schemas.microsoft.com/office/drawing/2012/chart">
                  <c:ext xmlns:c16="http://schemas.microsoft.com/office/drawing/2014/chart" uri="{C3380CC4-5D6E-409C-BE32-E72D297353CC}">
                    <c16:uniqueId val="{00000001-C1BA-4F4A-BF2D-7B723B5E1290}"/>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'Table E3'!$W$8</c15:sqref>
                        </c15:formulaRef>
                      </c:ext>
                    </c:extLst>
                    <c:strCache>
                      <c:ptCount val="1"/>
                      <c:pt idx="0">
                        <c:v>2011-2015</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79-2D22-4644-A12A-159939EBA9E9}"/>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7B-2D22-4644-A12A-159939EBA9E9}"/>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7D-2D22-4644-A12A-159939EBA9E9}"/>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7F-2D22-4644-A12A-159939EBA9E9}"/>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81-2D22-4644-A12A-159939EBA9E9}"/>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83-2D22-4644-A12A-159939EBA9E9}"/>
                    </c:ext>
                  </c:extLst>
                </c:dPt>
                <c:dPt>
                  <c:idx val="6"/>
                  <c:bubble3D val="0"/>
                  <c:spPr>
                    <a:solidFill>
                      <a:schemeClr val="accent1">
                        <a:lumMod val="60000"/>
                      </a:schemeClr>
                    </a:solidFill>
                    <a:ln>
                      <a:noFill/>
                    </a:ln>
                    <a:effectLst/>
                  </c:spPr>
                  <c:extLst xmlns:c15="http://schemas.microsoft.com/office/drawing/2012/chart">
                    <c:ext xmlns:c16="http://schemas.microsoft.com/office/drawing/2014/chart" uri="{C3380CC4-5D6E-409C-BE32-E72D297353CC}">
                      <c16:uniqueId val="{00000085-2D22-4644-A12A-159939EBA9E9}"/>
                    </c:ext>
                  </c:extLst>
                </c:dPt>
                <c:dPt>
                  <c:idx val="7"/>
                  <c:bubble3D val="0"/>
                  <c:spPr>
                    <a:solidFill>
                      <a:schemeClr val="accent2">
                        <a:lumMod val="60000"/>
                      </a:schemeClr>
                    </a:solidFill>
                    <a:ln>
                      <a:noFill/>
                    </a:ln>
                    <a:effectLst/>
                  </c:spPr>
                  <c:extLst xmlns:c15="http://schemas.microsoft.com/office/drawing/2012/chart">
                    <c:ext xmlns:c16="http://schemas.microsoft.com/office/drawing/2014/chart" uri="{C3380CC4-5D6E-409C-BE32-E72D297353CC}">
                      <c16:uniqueId val="{00000087-2D22-4644-A12A-159939EBA9E9}"/>
                    </c:ext>
                  </c:extLst>
                </c:dPt>
                <c:dPt>
                  <c:idx val="8"/>
                  <c:bubble3D val="0"/>
                  <c:spPr>
                    <a:solidFill>
                      <a:schemeClr val="accent3">
                        <a:lumMod val="60000"/>
                      </a:schemeClr>
                    </a:solidFill>
                    <a:ln>
                      <a:noFill/>
                    </a:ln>
                    <a:effectLst/>
                  </c:spPr>
                  <c:extLst xmlns:c15="http://schemas.microsoft.com/office/drawing/2012/chart">
                    <c:ext xmlns:c16="http://schemas.microsoft.com/office/drawing/2014/chart" uri="{C3380CC4-5D6E-409C-BE32-E72D297353CC}">
                      <c16:uniqueId val="{00000089-2D22-4644-A12A-159939EBA9E9}"/>
                    </c:ext>
                  </c:extLst>
                </c:dPt>
                <c:dPt>
                  <c:idx val="9"/>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8B-2D22-4644-A12A-159939EBA9E9}"/>
                    </c:ext>
                  </c:extLst>
                </c:dPt>
                <c:dPt>
                  <c:idx val="10"/>
                  <c:bubble3D val="0"/>
                  <c:spPr>
                    <a:solidFill>
                      <a:schemeClr val="accent5">
                        <a:lumMod val="60000"/>
                      </a:schemeClr>
                    </a:solidFill>
                    <a:ln>
                      <a:noFill/>
                    </a:ln>
                    <a:effectLst/>
                  </c:spPr>
                  <c:extLst xmlns:c15="http://schemas.microsoft.com/office/drawing/2012/chart">
                    <c:ext xmlns:c16="http://schemas.microsoft.com/office/drawing/2014/chart" uri="{C3380CC4-5D6E-409C-BE32-E72D297353CC}">
                      <c16:uniqueId val="{0000008D-2D22-4644-A12A-159939EBA9E9}"/>
                    </c:ext>
                  </c:extLst>
                </c:dPt>
                <c:dPt>
                  <c:idx val="11"/>
                  <c:bubble3D val="0"/>
                  <c:spPr>
                    <a:solidFill>
                      <a:schemeClr val="accent6">
                        <a:lumMod val="60000"/>
                      </a:schemeClr>
                    </a:solidFill>
                    <a:ln>
                      <a:noFill/>
                    </a:ln>
                    <a:effectLst/>
                  </c:spPr>
                  <c:extLst xmlns:c15="http://schemas.microsoft.com/office/drawing/2012/chart">
                    <c:ext xmlns:c16="http://schemas.microsoft.com/office/drawing/2014/chart" uri="{C3380CC4-5D6E-409C-BE32-E72D297353CC}">
                      <c16:uniqueId val="{0000008F-2D22-4644-A12A-159939EBA9E9}"/>
                    </c:ext>
                  </c:extLst>
                </c:dPt>
                <c:dPt>
                  <c:idx val="12"/>
                  <c:bubble3D val="0"/>
                  <c:spPr>
                    <a:solidFill>
                      <a:schemeClr val="accent1">
                        <a:lumMod val="80000"/>
                        <a:lumOff val="20000"/>
                      </a:schemeClr>
                    </a:solidFill>
                    <a:ln>
                      <a:noFill/>
                    </a:ln>
                    <a:effectLst/>
                  </c:spPr>
                  <c:extLst xmlns:c15="http://schemas.microsoft.com/office/drawing/2012/chart">
                    <c:ext xmlns:c16="http://schemas.microsoft.com/office/drawing/2014/chart" uri="{C3380CC4-5D6E-409C-BE32-E72D297353CC}">
                      <c16:uniqueId val="{00000091-2D22-4644-A12A-159939EBA9E9}"/>
                    </c:ext>
                  </c:extLst>
                </c:dPt>
                <c:dPt>
                  <c:idx val="13"/>
                  <c:bubble3D val="0"/>
                  <c:spPr>
                    <a:solidFill>
                      <a:schemeClr val="accent2">
                        <a:lumMod val="80000"/>
                        <a:lumOff val="20000"/>
                      </a:schemeClr>
                    </a:solidFill>
                    <a:ln>
                      <a:noFill/>
                    </a:ln>
                    <a:effectLst/>
                  </c:spPr>
                  <c:extLst xmlns:c15="http://schemas.microsoft.com/office/drawing/2012/chart">
                    <c:ext xmlns:c16="http://schemas.microsoft.com/office/drawing/2014/chart" uri="{C3380CC4-5D6E-409C-BE32-E72D297353CC}">
                      <c16:uniqueId val="{00000093-2D22-4644-A12A-159939EBA9E9}"/>
                    </c:ext>
                  </c:extLst>
                </c:dPt>
                <c:dPt>
                  <c:idx val="14"/>
                  <c:bubble3D val="0"/>
                  <c:spPr>
                    <a:solidFill>
                      <a:schemeClr val="accent3">
                        <a:lumMod val="80000"/>
                        <a:lumOff val="20000"/>
                      </a:schemeClr>
                    </a:solidFill>
                    <a:ln>
                      <a:noFill/>
                    </a:ln>
                    <a:effectLst/>
                  </c:spPr>
                  <c:extLst xmlns:c15="http://schemas.microsoft.com/office/drawing/2012/chart">
                    <c:ext xmlns:c16="http://schemas.microsoft.com/office/drawing/2014/chart" uri="{C3380CC4-5D6E-409C-BE32-E72D297353CC}">
                      <c16:uniqueId val="{00000095-2D22-4644-A12A-159939EBA9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'Table E3'!$S$9:$S$23</c15:sqref>
                        </c15:formulaRef>
                      </c:ext>
                    </c:extLst>
                    <c:strCache>
                      <c:ptCount val="15"/>
                      <c:pt idx="0">
                        <c:v>NorthWestern Energy</c:v>
                      </c:pt>
                      <c:pt idx="1">
                        <c:v>Avista</c:v>
                      </c:pt>
                      <c:pt idx="2">
                        <c:v>Puget Sound</c:v>
                      </c:pt>
                      <c:pt idx="3">
                        <c:v>BPA (federally owned)</c:v>
                      </c:pt>
                      <c:pt idx="4">
                        <c:v>Portland Gas &amp; Elec</c:v>
                      </c:pt>
                      <c:pt idx="5">
                        <c:v>WAPA</c:v>
                      </c:pt>
                      <c:pt idx="6">
                        <c:v>Talen/(PPL until 2015)</c:v>
                      </c:pt>
                      <c:pt idx="7">
                        <c:v>Pacificorp</c:v>
                      </c:pt>
                      <c:pt idx="8">
                        <c:v>Bershire Hathaway (Naturaner)</c:v>
                      </c:pt>
                      <c:pt idx="9">
                        <c:v>Energy Keepers </c:v>
                      </c:pt>
                      <c:pt idx="10">
                        <c:v>Invenergy</c:v>
                      </c:pt>
                      <c:pt idx="11">
                        <c:v>YELP</c:v>
                      </c:pt>
                      <c:pt idx="12">
                        <c:v>MDU</c:v>
                      </c:pt>
                      <c:pt idx="13">
                        <c:v>Big Horn Data</c:v>
                      </c:pt>
                      <c:pt idx="14">
                        <c:v>Other</c:v>
                      </c:pt>
                    </c:strCache>
                  </c:strRef>
                </c:cat>
                <c:val>
                  <c:numRef>
                    <c:extLst xmlns:c15="http://schemas.microsoft.com/office/drawing/2012/chart">
                      <c:ext xmlns:c15="http://schemas.microsoft.com/office/drawing/2012/chart" uri="{02D57815-91ED-43cb-92C2-25804820EDAC}">
                        <c15:formulaRef>
                          <c15:sqref>'Table E3'!$W$9:$W$23</c15:sqref>
                        </c15:formulaRef>
                      </c:ext>
                    </c:extLst>
                    <c:numCache>
                      <c:formatCode>0.0</c:formatCode>
                      <c:ptCount val="15"/>
                      <c:pt idx="0">
                        <c:v>218.94800902820845</c:v>
                      </c:pt>
                      <c:pt idx="1">
                        <c:v>436.06873806963466</c:v>
                      </c:pt>
                      <c:pt idx="2">
                        <c:v>379.86014944634701</c:v>
                      </c:pt>
                      <c:pt idx="3">
                        <c:v>394.78086757990866</c:v>
                      </c:pt>
                      <c:pt idx="4">
                        <c:v>303.88811955707763</c:v>
                      </c:pt>
                      <c:pt idx="5">
                        <c:v>229.35867579908677</c:v>
                      </c:pt>
                      <c:pt idx="6">
                        <c:v>574.7448567910958</c:v>
                      </c:pt>
                      <c:pt idx="7">
                        <c:v>155.50609174200915</c:v>
                      </c:pt>
                      <c:pt idx="8">
                        <c:v>108.84742146118722</c:v>
                      </c:pt>
                      <c:pt idx="9">
                        <c:v>131</c:v>
                      </c:pt>
                      <c:pt idx="10">
                        <c:v>55.381027397260276</c:v>
                      </c:pt>
                      <c:pt idx="11">
                        <c:v>51.412502579908669</c:v>
                      </c:pt>
                      <c:pt idx="12">
                        <c:v>42.588127397260273</c:v>
                      </c:pt>
                      <c:pt idx="13">
                        <c:v>66.093388584474894</c:v>
                      </c:pt>
                      <c:pt idx="14">
                        <c:v>87.505884779299848</c:v>
                      </c:pt>
                    </c:numCache>
                  </c:numRef>
                </c:val>
                <c:extLst xmlns:c15="http://schemas.microsoft.com/office/drawing/2012/chart">
                  <c:ext xmlns:c16="http://schemas.microsoft.com/office/drawing/2014/chart" uri="{C3380CC4-5D6E-409C-BE32-E72D297353CC}">
                    <c16:uniqueId val="{00000002-C1BA-4F4A-BF2D-7B723B5E1290}"/>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Electricty Ownership Capacity in Montana by Company, 1970-2024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149720628418644E-2"/>
          <c:y val="7.3855053832556639E-2"/>
          <c:w val="0.79218808369841021"/>
          <c:h val="0.86067617443876865"/>
        </c:manualLayout>
      </c:layout>
      <c:areaChart>
        <c:grouping val="stacked"/>
        <c:varyColors val="0"/>
        <c:ser>
          <c:idx val="13"/>
          <c:order val="0"/>
          <c:tx>
            <c:v>U.S. Corps of Engineers</c:v>
          </c:tx>
          <c:spPr>
            <a:solidFill>
              <a:srgbClr val="0000FF"/>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1970-2022'!$B$141:$BD$141</c:f>
              <c:numCache>
                <c:formatCode>General</c:formatCode>
                <c:ptCount val="55"/>
                <c:pt idx="0">
                  <c:v>710.3</c:v>
                </c:pt>
                <c:pt idx="1">
                  <c:v>710.3</c:v>
                </c:pt>
                <c:pt idx="2">
                  <c:v>710.3</c:v>
                </c:pt>
                <c:pt idx="3">
                  <c:v>710.3</c:v>
                </c:pt>
                <c:pt idx="4">
                  <c:v>710.3</c:v>
                </c:pt>
                <c:pt idx="5">
                  <c:v>710.3</c:v>
                </c:pt>
                <c:pt idx="6">
                  <c:v>710.3</c:v>
                </c:pt>
                <c:pt idx="7">
                  <c:v>710.3</c:v>
                </c:pt>
                <c:pt idx="8">
                  <c:v>710.3</c:v>
                </c:pt>
                <c:pt idx="9">
                  <c:v>710.3</c:v>
                </c:pt>
                <c:pt idx="10">
                  <c:v>710.3</c:v>
                </c:pt>
                <c:pt idx="11">
                  <c:v>710.3</c:v>
                </c:pt>
                <c:pt idx="12">
                  <c:v>710.3</c:v>
                </c:pt>
                <c:pt idx="13">
                  <c:v>710.3</c:v>
                </c:pt>
                <c:pt idx="14">
                  <c:v>710.3</c:v>
                </c:pt>
                <c:pt idx="15">
                  <c:v>710.3</c:v>
                </c:pt>
                <c:pt idx="16">
                  <c:v>710.3</c:v>
                </c:pt>
                <c:pt idx="17">
                  <c:v>710.3</c:v>
                </c:pt>
                <c:pt idx="18">
                  <c:v>710.3</c:v>
                </c:pt>
                <c:pt idx="19">
                  <c:v>710.3</c:v>
                </c:pt>
                <c:pt idx="20">
                  <c:v>710.3</c:v>
                </c:pt>
                <c:pt idx="21">
                  <c:v>710.3</c:v>
                </c:pt>
                <c:pt idx="22">
                  <c:v>710.3</c:v>
                </c:pt>
                <c:pt idx="23">
                  <c:v>710.3</c:v>
                </c:pt>
                <c:pt idx="24">
                  <c:v>710.3</c:v>
                </c:pt>
                <c:pt idx="25">
                  <c:v>710.3</c:v>
                </c:pt>
                <c:pt idx="26">
                  <c:v>710.3</c:v>
                </c:pt>
                <c:pt idx="27">
                  <c:v>710.3</c:v>
                </c:pt>
                <c:pt idx="28">
                  <c:v>710.3</c:v>
                </c:pt>
                <c:pt idx="29">
                  <c:v>710.3</c:v>
                </c:pt>
                <c:pt idx="30">
                  <c:v>710.3</c:v>
                </c:pt>
                <c:pt idx="31">
                  <c:v>710.3</c:v>
                </c:pt>
                <c:pt idx="32">
                  <c:v>710.3</c:v>
                </c:pt>
                <c:pt idx="33">
                  <c:v>710.3</c:v>
                </c:pt>
                <c:pt idx="34">
                  <c:v>710.3</c:v>
                </c:pt>
                <c:pt idx="35">
                  <c:v>710.3</c:v>
                </c:pt>
                <c:pt idx="36">
                  <c:v>710.3</c:v>
                </c:pt>
                <c:pt idx="37">
                  <c:v>710.3</c:v>
                </c:pt>
                <c:pt idx="38">
                  <c:v>710.3</c:v>
                </c:pt>
                <c:pt idx="39">
                  <c:v>710.3</c:v>
                </c:pt>
                <c:pt idx="40">
                  <c:v>710.3</c:v>
                </c:pt>
                <c:pt idx="41">
                  <c:v>710.3</c:v>
                </c:pt>
                <c:pt idx="42">
                  <c:v>710.3</c:v>
                </c:pt>
                <c:pt idx="43">
                  <c:v>710.3</c:v>
                </c:pt>
                <c:pt idx="44">
                  <c:v>710.3</c:v>
                </c:pt>
                <c:pt idx="45">
                  <c:v>710.3</c:v>
                </c:pt>
                <c:pt idx="46">
                  <c:v>710.3</c:v>
                </c:pt>
                <c:pt idx="47">
                  <c:v>710.3</c:v>
                </c:pt>
                <c:pt idx="48">
                  <c:v>710.3</c:v>
                </c:pt>
                <c:pt idx="49">
                  <c:v>710.3</c:v>
                </c:pt>
                <c:pt idx="50">
                  <c:v>710.3</c:v>
                </c:pt>
                <c:pt idx="51">
                  <c:v>710.3</c:v>
                </c:pt>
                <c:pt idx="52">
                  <c:v>710.3</c:v>
                </c:pt>
                <c:pt idx="53">
                  <c:v>710.3</c:v>
                </c:pt>
                <c:pt idx="54">
                  <c:v>710.3</c:v>
                </c:pt>
              </c:numCache>
            </c:numRef>
          </c:val>
          <c:extLst>
            <c:ext xmlns:c16="http://schemas.microsoft.com/office/drawing/2014/chart" uri="{C3380CC4-5D6E-409C-BE32-E72D297353CC}">
              <c16:uniqueId val="{00000000-ABB5-4688-994D-A16572AB8A35}"/>
            </c:ext>
          </c:extLst>
        </c:ser>
        <c:ser>
          <c:idx val="12"/>
          <c:order val="1"/>
          <c:tx>
            <c:v>U.S. Bureau of Recreation</c:v>
          </c:tx>
          <c:spPr>
            <a:solidFill>
              <a:schemeClr val="accent5">
                <a:lumMod val="60000"/>
                <a:lumOff val="40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1970-2022'!$B$140:$BD$140</c:f>
              <c:numCache>
                <c:formatCode>General</c:formatCode>
                <c:ptCount val="55"/>
                <c:pt idx="0">
                  <c:v>584.79999999999995</c:v>
                </c:pt>
                <c:pt idx="1">
                  <c:v>584.79999999999995</c:v>
                </c:pt>
                <c:pt idx="2">
                  <c:v>584.79999999999995</c:v>
                </c:pt>
                <c:pt idx="3">
                  <c:v>584.79999999999995</c:v>
                </c:pt>
                <c:pt idx="4">
                  <c:v>584.79999999999995</c:v>
                </c:pt>
                <c:pt idx="5">
                  <c:v>584.79999999999995</c:v>
                </c:pt>
                <c:pt idx="6">
                  <c:v>584.79999999999995</c:v>
                </c:pt>
                <c:pt idx="7">
                  <c:v>584.79999999999995</c:v>
                </c:pt>
                <c:pt idx="8">
                  <c:v>584.79999999999995</c:v>
                </c:pt>
                <c:pt idx="9">
                  <c:v>584.79999999999995</c:v>
                </c:pt>
                <c:pt idx="10">
                  <c:v>584.79999999999995</c:v>
                </c:pt>
                <c:pt idx="11">
                  <c:v>584.79999999999995</c:v>
                </c:pt>
                <c:pt idx="12">
                  <c:v>584.79999999999995</c:v>
                </c:pt>
                <c:pt idx="13">
                  <c:v>584.79999999999995</c:v>
                </c:pt>
                <c:pt idx="14">
                  <c:v>584.79999999999995</c:v>
                </c:pt>
                <c:pt idx="15">
                  <c:v>584.79999999999995</c:v>
                </c:pt>
                <c:pt idx="16">
                  <c:v>584.79999999999995</c:v>
                </c:pt>
                <c:pt idx="17">
                  <c:v>584.79999999999995</c:v>
                </c:pt>
                <c:pt idx="18">
                  <c:v>584.79999999999995</c:v>
                </c:pt>
                <c:pt idx="19">
                  <c:v>584.79999999999995</c:v>
                </c:pt>
                <c:pt idx="20">
                  <c:v>727.8</c:v>
                </c:pt>
                <c:pt idx="21">
                  <c:v>727.8</c:v>
                </c:pt>
                <c:pt idx="22">
                  <c:v>727.8</c:v>
                </c:pt>
                <c:pt idx="23">
                  <c:v>727.8</c:v>
                </c:pt>
                <c:pt idx="24">
                  <c:v>727.8</c:v>
                </c:pt>
                <c:pt idx="25">
                  <c:v>727.8</c:v>
                </c:pt>
                <c:pt idx="26">
                  <c:v>727.8</c:v>
                </c:pt>
                <c:pt idx="27">
                  <c:v>727.8</c:v>
                </c:pt>
                <c:pt idx="28">
                  <c:v>727.8</c:v>
                </c:pt>
                <c:pt idx="29">
                  <c:v>727.8</c:v>
                </c:pt>
                <c:pt idx="30">
                  <c:v>727.8</c:v>
                </c:pt>
                <c:pt idx="31">
                  <c:v>727.8</c:v>
                </c:pt>
                <c:pt idx="32">
                  <c:v>727.8</c:v>
                </c:pt>
                <c:pt idx="33">
                  <c:v>727.8</c:v>
                </c:pt>
                <c:pt idx="34">
                  <c:v>727.8</c:v>
                </c:pt>
                <c:pt idx="35">
                  <c:v>727.8</c:v>
                </c:pt>
                <c:pt idx="36">
                  <c:v>727.8</c:v>
                </c:pt>
                <c:pt idx="37">
                  <c:v>727.8</c:v>
                </c:pt>
                <c:pt idx="38">
                  <c:v>727.8</c:v>
                </c:pt>
                <c:pt idx="39">
                  <c:v>727.8</c:v>
                </c:pt>
                <c:pt idx="40">
                  <c:v>727.8</c:v>
                </c:pt>
                <c:pt idx="41">
                  <c:v>727.8</c:v>
                </c:pt>
                <c:pt idx="42">
                  <c:v>727.8</c:v>
                </c:pt>
                <c:pt idx="43">
                  <c:v>727.8</c:v>
                </c:pt>
                <c:pt idx="44">
                  <c:v>727.8</c:v>
                </c:pt>
                <c:pt idx="45">
                  <c:v>727.8</c:v>
                </c:pt>
                <c:pt idx="46">
                  <c:v>727.8</c:v>
                </c:pt>
                <c:pt idx="47">
                  <c:v>727.8</c:v>
                </c:pt>
                <c:pt idx="48">
                  <c:v>727.8</c:v>
                </c:pt>
                <c:pt idx="49">
                  <c:v>727.8</c:v>
                </c:pt>
                <c:pt idx="50">
                  <c:v>727.8</c:v>
                </c:pt>
                <c:pt idx="51">
                  <c:v>727.8</c:v>
                </c:pt>
                <c:pt idx="52">
                  <c:v>727.8</c:v>
                </c:pt>
                <c:pt idx="53">
                  <c:v>727.8</c:v>
                </c:pt>
                <c:pt idx="54">
                  <c:v>727.8</c:v>
                </c:pt>
              </c:numCache>
            </c:numRef>
          </c:val>
          <c:extLst>
            <c:ext xmlns:c16="http://schemas.microsoft.com/office/drawing/2014/chart" uri="{C3380CC4-5D6E-409C-BE32-E72D297353CC}">
              <c16:uniqueId val="{00000001-ABB5-4688-994D-A16572AB8A35}"/>
            </c:ext>
          </c:extLst>
        </c:ser>
        <c:ser>
          <c:idx val="6"/>
          <c:order val="2"/>
          <c:tx>
            <c:v>Talen/Riverstone</c:v>
          </c:tx>
          <c:spPr>
            <a:solidFill>
              <a:srgbClr val="66330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1970-2022'!$B$132:$BD$132</c:f>
              <c:numCache>
                <c:formatCode>General</c:formatCode>
                <c:ptCount val="55"/>
                <c:pt idx="46">
                  <c:v>529</c:v>
                </c:pt>
                <c:pt idx="47">
                  <c:v>529</c:v>
                </c:pt>
                <c:pt idx="48">
                  <c:v>529</c:v>
                </c:pt>
                <c:pt idx="49">
                  <c:v>529</c:v>
                </c:pt>
                <c:pt idx="50">
                  <c:v>222</c:v>
                </c:pt>
                <c:pt idx="51">
                  <c:v>222</c:v>
                </c:pt>
                <c:pt idx="52">
                  <c:v>222</c:v>
                </c:pt>
                <c:pt idx="53">
                  <c:v>222</c:v>
                </c:pt>
                <c:pt idx="54">
                  <c:v>222</c:v>
                </c:pt>
              </c:numCache>
            </c:numRef>
          </c:val>
          <c:extLst>
            <c:ext xmlns:c16="http://schemas.microsoft.com/office/drawing/2014/chart" uri="{C3380CC4-5D6E-409C-BE32-E72D297353CC}">
              <c16:uniqueId val="{0000000D-ABB5-4688-994D-A16572AB8A35}"/>
            </c:ext>
          </c:extLst>
        </c:ser>
        <c:ser>
          <c:idx val="2"/>
          <c:order val="3"/>
          <c:tx>
            <c:v>NWE Owned</c:v>
          </c:tx>
          <c:spPr>
            <a:solidFill>
              <a:srgbClr val="CC000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1970-2022'!$B$129:$BD$129</c:f>
              <c:numCache>
                <c:formatCode>General</c:formatCode>
                <c:ptCount val="55"/>
                <c:pt idx="28">
                  <c:v>0</c:v>
                </c:pt>
                <c:pt idx="29">
                  <c:v>0</c:v>
                </c:pt>
                <c:pt idx="30">
                  <c:v>0</c:v>
                </c:pt>
                <c:pt idx="31">
                  <c:v>0</c:v>
                </c:pt>
                <c:pt idx="32">
                  <c:v>222</c:v>
                </c:pt>
                <c:pt idx="33">
                  <c:v>222</c:v>
                </c:pt>
                <c:pt idx="34">
                  <c:v>222</c:v>
                </c:pt>
                <c:pt idx="35">
                  <c:v>222</c:v>
                </c:pt>
                <c:pt idx="36">
                  <c:v>222</c:v>
                </c:pt>
                <c:pt idx="37">
                  <c:v>222</c:v>
                </c:pt>
                <c:pt idx="38">
                  <c:v>222</c:v>
                </c:pt>
                <c:pt idx="39">
                  <c:v>222</c:v>
                </c:pt>
                <c:pt idx="40">
                  <c:v>222</c:v>
                </c:pt>
                <c:pt idx="41">
                  <c:v>372</c:v>
                </c:pt>
                <c:pt idx="42">
                  <c:v>412</c:v>
                </c:pt>
                <c:pt idx="43">
                  <c:v>412</c:v>
                </c:pt>
                <c:pt idx="44">
                  <c:v>412</c:v>
                </c:pt>
                <c:pt idx="45">
                  <c:v>412</c:v>
                </c:pt>
                <c:pt idx="46">
                  <c:v>848</c:v>
                </c:pt>
                <c:pt idx="47">
                  <c:v>848</c:v>
                </c:pt>
                <c:pt idx="48">
                  <c:v>857.7</c:v>
                </c:pt>
                <c:pt idx="49">
                  <c:v>857.7</c:v>
                </c:pt>
                <c:pt idx="50">
                  <c:v>946</c:v>
                </c:pt>
                <c:pt idx="51">
                  <c:v>952.6</c:v>
                </c:pt>
                <c:pt idx="52">
                  <c:v>952.6</c:v>
                </c:pt>
                <c:pt idx="53">
                  <c:v>952.6</c:v>
                </c:pt>
                <c:pt idx="54">
                  <c:v>1127.5999999999999</c:v>
                </c:pt>
              </c:numCache>
            </c:numRef>
          </c:val>
          <c:extLst>
            <c:ext xmlns:c16="http://schemas.microsoft.com/office/drawing/2014/chart" uri="{C3380CC4-5D6E-409C-BE32-E72D297353CC}">
              <c16:uniqueId val="{00000009-ABB5-4688-994D-A16572AB8A35}"/>
            </c:ext>
          </c:extLst>
        </c:ser>
        <c:ser>
          <c:idx val="0"/>
          <c:order val="4"/>
          <c:tx>
            <c:v>Montana Power</c:v>
          </c:tx>
          <c:spPr>
            <a:solidFill>
              <a:srgbClr val="FF0000"/>
            </a:solidFill>
            <a:ln>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1970-2022'!$B$126:$BB$126</c:f>
              <c:numCache>
                <c:formatCode>General</c:formatCode>
                <c:ptCount val="53"/>
                <c:pt idx="0">
                  <c:v>731</c:v>
                </c:pt>
                <c:pt idx="1">
                  <c:v>731</c:v>
                </c:pt>
                <c:pt idx="2">
                  <c:v>731</c:v>
                </c:pt>
                <c:pt idx="3">
                  <c:v>731</c:v>
                </c:pt>
                <c:pt idx="4">
                  <c:v>731</c:v>
                </c:pt>
                <c:pt idx="5">
                  <c:v>884.5</c:v>
                </c:pt>
                <c:pt idx="6">
                  <c:v>884.5</c:v>
                </c:pt>
                <c:pt idx="7">
                  <c:v>1038</c:v>
                </c:pt>
                <c:pt idx="8">
                  <c:v>1038</c:v>
                </c:pt>
                <c:pt idx="9">
                  <c:v>1038</c:v>
                </c:pt>
                <c:pt idx="10">
                  <c:v>1038</c:v>
                </c:pt>
                <c:pt idx="11">
                  <c:v>1038</c:v>
                </c:pt>
                <c:pt idx="12">
                  <c:v>1038</c:v>
                </c:pt>
                <c:pt idx="13">
                  <c:v>1038</c:v>
                </c:pt>
                <c:pt idx="14">
                  <c:v>1260</c:v>
                </c:pt>
                <c:pt idx="15">
                  <c:v>1260</c:v>
                </c:pt>
                <c:pt idx="16">
                  <c:v>1482</c:v>
                </c:pt>
                <c:pt idx="17">
                  <c:v>1482</c:v>
                </c:pt>
                <c:pt idx="18">
                  <c:v>1482</c:v>
                </c:pt>
                <c:pt idx="19">
                  <c:v>1482</c:v>
                </c:pt>
                <c:pt idx="20">
                  <c:v>1482</c:v>
                </c:pt>
                <c:pt idx="21">
                  <c:v>1482</c:v>
                </c:pt>
                <c:pt idx="22">
                  <c:v>1482</c:v>
                </c:pt>
                <c:pt idx="23">
                  <c:v>1482</c:v>
                </c:pt>
                <c:pt idx="24">
                  <c:v>1535</c:v>
                </c:pt>
                <c:pt idx="25">
                  <c:v>1535</c:v>
                </c:pt>
                <c:pt idx="26">
                  <c:v>1535</c:v>
                </c:pt>
                <c:pt idx="27">
                  <c:v>1535</c:v>
                </c:pt>
                <c:pt idx="28">
                  <c:v>1535</c:v>
                </c:pt>
                <c:pt idx="29">
                  <c:v>222</c:v>
                </c:pt>
                <c:pt idx="30">
                  <c:v>222</c:v>
                </c:pt>
                <c:pt idx="31">
                  <c:v>222</c:v>
                </c:pt>
              </c:numCache>
            </c:numRef>
          </c:val>
          <c:extLst>
            <c:ext xmlns:c16="http://schemas.microsoft.com/office/drawing/2014/chart" uri="{C3380CC4-5D6E-409C-BE32-E72D297353CC}">
              <c16:uniqueId val="{00000007-ABB5-4688-994D-A16572AB8A35}"/>
            </c:ext>
          </c:extLst>
        </c:ser>
        <c:ser>
          <c:idx val="1"/>
          <c:order val="5"/>
          <c:tx>
            <c:v>PPL Montana</c:v>
          </c:tx>
          <c:spPr>
            <a:solidFill>
              <a:srgbClr val="FF4737"/>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1970-2022'!$B$128:$BB$128</c:f>
              <c:numCache>
                <c:formatCode>General</c:formatCode>
                <c:ptCount val="53"/>
                <c:pt idx="28">
                  <c:v>0</c:v>
                </c:pt>
                <c:pt idx="29">
                  <c:v>1313</c:v>
                </c:pt>
                <c:pt idx="30">
                  <c:v>1313</c:v>
                </c:pt>
                <c:pt idx="31">
                  <c:v>1317</c:v>
                </c:pt>
                <c:pt idx="32">
                  <c:v>1317</c:v>
                </c:pt>
                <c:pt idx="33">
                  <c:v>1317</c:v>
                </c:pt>
                <c:pt idx="34">
                  <c:v>1317</c:v>
                </c:pt>
                <c:pt idx="35">
                  <c:v>1317</c:v>
                </c:pt>
                <c:pt idx="36">
                  <c:v>1317</c:v>
                </c:pt>
                <c:pt idx="37">
                  <c:v>1317</c:v>
                </c:pt>
                <c:pt idx="38">
                  <c:v>1317</c:v>
                </c:pt>
                <c:pt idx="39">
                  <c:v>1317</c:v>
                </c:pt>
                <c:pt idx="40">
                  <c:v>1317</c:v>
                </c:pt>
                <c:pt idx="41">
                  <c:v>1317</c:v>
                </c:pt>
                <c:pt idx="42">
                  <c:v>1322</c:v>
                </c:pt>
                <c:pt idx="43">
                  <c:v>1346</c:v>
                </c:pt>
                <c:pt idx="44">
                  <c:v>1346</c:v>
                </c:pt>
                <c:pt idx="45">
                  <c:v>1138</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8-ABB5-4688-994D-A16572AB8A35}"/>
            </c:ext>
          </c:extLst>
        </c:ser>
        <c:ser>
          <c:idx val="4"/>
          <c:order val="6"/>
          <c:tx>
            <c:strRef>
              <c:f>'[1]Capacity 1970-2022'!$A$131</c:f>
              <c:strCache>
                <c:ptCount val="1"/>
                <c:pt idx="0">
                  <c:v>NWE QFs (mostly wind)</c:v>
                </c:pt>
              </c:strCache>
            </c:strRef>
          </c:tx>
          <c:spPr>
            <a:solidFill>
              <a:srgbClr val="EB2554"/>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1970-2022'!$B$131:$BD$131</c:f>
              <c:numCache>
                <c:formatCode>General</c:formatCode>
                <c:ptCount val="5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2.13</c:v>
                </c:pt>
                <c:pt idx="15">
                  <c:v>3.33</c:v>
                </c:pt>
                <c:pt idx="16">
                  <c:v>3.33</c:v>
                </c:pt>
                <c:pt idx="17">
                  <c:v>3.5180000000000002</c:v>
                </c:pt>
                <c:pt idx="18">
                  <c:v>4.2680000000000007</c:v>
                </c:pt>
                <c:pt idx="19">
                  <c:v>15.517999999999999</c:v>
                </c:pt>
                <c:pt idx="20">
                  <c:v>48.518000000000001</c:v>
                </c:pt>
                <c:pt idx="21">
                  <c:v>48.518000000000001</c:v>
                </c:pt>
                <c:pt idx="22">
                  <c:v>48.518000000000001</c:v>
                </c:pt>
                <c:pt idx="23">
                  <c:v>48.518000000000001</c:v>
                </c:pt>
                <c:pt idx="24">
                  <c:v>48.518000000000001</c:v>
                </c:pt>
                <c:pt idx="25">
                  <c:v>113.518</c:v>
                </c:pt>
                <c:pt idx="26">
                  <c:v>113.968</c:v>
                </c:pt>
                <c:pt idx="27">
                  <c:v>113.968</c:v>
                </c:pt>
                <c:pt idx="28">
                  <c:v>113.968</c:v>
                </c:pt>
                <c:pt idx="29">
                  <c:v>113.968</c:v>
                </c:pt>
                <c:pt idx="30">
                  <c:v>113.968</c:v>
                </c:pt>
                <c:pt idx="31">
                  <c:v>113.968</c:v>
                </c:pt>
                <c:pt idx="32">
                  <c:v>113.968</c:v>
                </c:pt>
                <c:pt idx="33">
                  <c:v>113.968</c:v>
                </c:pt>
                <c:pt idx="34">
                  <c:v>113.968</c:v>
                </c:pt>
                <c:pt idx="35">
                  <c:v>115.86800000000001</c:v>
                </c:pt>
                <c:pt idx="36">
                  <c:v>124.86800000000001</c:v>
                </c:pt>
                <c:pt idx="37">
                  <c:v>126.86800000000001</c:v>
                </c:pt>
                <c:pt idx="38">
                  <c:v>126.86800000000001</c:v>
                </c:pt>
                <c:pt idx="39">
                  <c:v>126.86800000000001</c:v>
                </c:pt>
                <c:pt idx="40">
                  <c:v>126.86800000000001</c:v>
                </c:pt>
                <c:pt idx="41">
                  <c:v>126.86800000000001</c:v>
                </c:pt>
                <c:pt idx="42">
                  <c:v>136.923</c:v>
                </c:pt>
                <c:pt idx="43">
                  <c:v>158.923</c:v>
                </c:pt>
                <c:pt idx="44">
                  <c:v>168.923</c:v>
                </c:pt>
                <c:pt idx="45">
                  <c:v>168.923</c:v>
                </c:pt>
                <c:pt idx="46">
                  <c:v>201.923</c:v>
                </c:pt>
                <c:pt idx="47">
                  <c:v>210.923</c:v>
                </c:pt>
                <c:pt idx="48">
                  <c:v>325.62299999999993</c:v>
                </c:pt>
                <c:pt idx="49">
                  <c:v>325.62299999999993</c:v>
                </c:pt>
                <c:pt idx="50">
                  <c:v>325.62299999999993</c:v>
                </c:pt>
                <c:pt idx="51">
                  <c:v>308.72299999999996</c:v>
                </c:pt>
                <c:pt idx="52">
                  <c:v>388.72299999999996</c:v>
                </c:pt>
                <c:pt idx="53">
                  <c:v>468.72299999999996</c:v>
                </c:pt>
                <c:pt idx="54">
                  <c:v>468.72299999999996</c:v>
                </c:pt>
              </c:numCache>
            </c:numRef>
          </c:val>
          <c:extLst>
            <c:ext xmlns:c16="http://schemas.microsoft.com/office/drawing/2014/chart" uri="{C3380CC4-5D6E-409C-BE32-E72D297353CC}">
              <c16:uniqueId val="{0000000B-ABB5-4688-994D-A16572AB8A35}"/>
            </c:ext>
          </c:extLst>
        </c:ser>
        <c:ser>
          <c:idx val="3"/>
          <c:order val="7"/>
          <c:tx>
            <c:v>NWE Portfolio</c:v>
          </c:tx>
          <c:spPr>
            <a:solidFill>
              <a:srgbClr val="B1171F"/>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1970-2022'!$B$130:$BD$130</c:f>
              <c:numCache>
                <c:formatCode>General</c:formatCode>
                <c:ptCount val="55"/>
                <c:pt idx="28">
                  <c:v>0</c:v>
                </c:pt>
                <c:pt idx="29">
                  <c:v>0</c:v>
                </c:pt>
                <c:pt idx="30">
                  <c:v>0</c:v>
                </c:pt>
                <c:pt idx="31">
                  <c:v>0</c:v>
                </c:pt>
                <c:pt idx="32">
                  <c:v>0</c:v>
                </c:pt>
                <c:pt idx="33">
                  <c:v>0</c:v>
                </c:pt>
                <c:pt idx="34">
                  <c:v>7.5</c:v>
                </c:pt>
                <c:pt idx="35">
                  <c:v>142.5</c:v>
                </c:pt>
                <c:pt idx="36">
                  <c:v>194.5</c:v>
                </c:pt>
                <c:pt idx="37">
                  <c:v>194.5</c:v>
                </c:pt>
                <c:pt idx="38">
                  <c:v>194.5</c:v>
                </c:pt>
                <c:pt idx="39">
                  <c:v>194.5</c:v>
                </c:pt>
                <c:pt idx="40">
                  <c:v>194.5</c:v>
                </c:pt>
                <c:pt idx="41">
                  <c:v>207.5</c:v>
                </c:pt>
                <c:pt idx="42">
                  <c:v>207.5</c:v>
                </c:pt>
                <c:pt idx="43">
                  <c:v>207.5</c:v>
                </c:pt>
                <c:pt idx="44">
                  <c:v>217.2</c:v>
                </c:pt>
                <c:pt idx="45">
                  <c:v>217.2</c:v>
                </c:pt>
                <c:pt idx="46">
                  <c:v>217.2</c:v>
                </c:pt>
                <c:pt idx="47">
                  <c:v>217.2</c:v>
                </c:pt>
                <c:pt idx="48">
                  <c:v>207.5</c:v>
                </c:pt>
                <c:pt idx="49">
                  <c:v>207.5</c:v>
                </c:pt>
                <c:pt idx="50">
                  <c:v>207.5</c:v>
                </c:pt>
                <c:pt idx="51">
                  <c:v>207.5</c:v>
                </c:pt>
                <c:pt idx="52">
                  <c:v>207.5</c:v>
                </c:pt>
                <c:pt idx="53">
                  <c:v>207.5</c:v>
                </c:pt>
                <c:pt idx="54">
                  <c:v>207.5</c:v>
                </c:pt>
              </c:numCache>
            </c:numRef>
          </c:val>
          <c:extLst>
            <c:ext xmlns:c16="http://schemas.microsoft.com/office/drawing/2014/chart" uri="{C3380CC4-5D6E-409C-BE32-E72D297353CC}">
              <c16:uniqueId val="{0000000A-ABB5-4688-994D-A16572AB8A35}"/>
            </c:ext>
          </c:extLst>
        </c:ser>
        <c:ser>
          <c:idx val="16"/>
          <c:order val="8"/>
          <c:tx>
            <c:v>Energy Keepers</c:v>
          </c:tx>
          <c:spPr>
            <a:solidFill>
              <a:srgbClr val="179C99"/>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1970-2022'!$B$139:$BD$139</c:f>
              <c:numCache>
                <c:formatCode>General</c:formatCode>
                <c:ptCount val="55"/>
                <c:pt idx="45">
                  <c:v>208</c:v>
                </c:pt>
                <c:pt idx="46">
                  <c:v>208</c:v>
                </c:pt>
                <c:pt idx="47">
                  <c:v>208</c:v>
                </c:pt>
                <c:pt idx="48">
                  <c:v>208</c:v>
                </c:pt>
                <c:pt idx="49">
                  <c:v>208</c:v>
                </c:pt>
                <c:pt idx="50">
                  <c:v>208</c:v>
                </c:pt>
                <c:pt idx="51">
                  <c:v>208</c:v>
                </c:pt>
                <c:pt idx="52">
                  <c:v>208</c:v>
                </c:pt>
                <c:pt idx="53">
                  <c:v>208</c:v>
                </c:pt>
                <c:pt idx="54">
                  <c:v>208</c:v>
                </c:pt>
              </c:numCache>
            </c:numRef>
          </c:val>
          <c:extLst>
            <c:ext xmlns:c16="http://schemas.microsoft.com/office/drawing/2014/chart" uri="{C3380CC4-5D6E-409C-BE32-E72D297353CC}">
              <c16:uniqueId val="{0000000C-ABB5-4688-994D-A16572AB8A35}"/>
            </c:ext>
          </c:extLst>
        </c:ser>
        <c:ser>
          <c:idx val="7"/>
          <c:order val="9"/>
          <c:tx>
            <c:v>Avista</c:v>
          </c:tx>
          <c:spPr>
            <a:solidFill>
              <a:schemeClr val="tx2">
                <a:lumMod val="20000"/>
                <a:lumOff val="80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1970-2022'!$B$133:$BD$133</c:f>
              <c:numCache>
                <c:formatCode>General</c:formatCode>
                <c:ptCount val="55"/>
                <c:pt idx="0">
                  <c:v>466</c:v>
                </c:pt>
                <c:pt idx="1">
                  <c:v>466</c:v>
                </c:pt>
                <c:pt idx="2">
                  <c:v>466</c:v>
                </c:pt>
                <c:pt idx="3">
                  <c:v>466</c:v>
                </c:pt>
                <c:pt idx="4">
                  <c:v>466</c:v>
                </c:pt>
                <c:pt idx="5">
                  <c:v>466</c:v>
                </c:pt>
                <c:pt idx="6">
                  <c:v>466</c:v>
                </c:pt>
                <c:pt idx="7">
                  <c:v>466</c:v>
                </c:pt>
                <c:pt idx="8">
                  <c:v>466</c:v>
                </c:pt>
                <c:pt idx="9">
                  <c:v>466</c:v>
                </c:pt>
                <c:pt idx="10">
                  <c:v>466</c:v>
                </c:pt>
                <c:pt idx="11">
                  <c:v>466</c:v>
                </c:pt>
                <c:pt idx="12">
                  <c:v>466</c:v>
                </c:pt>
                <c:pt idx="13">
                  <c:v>466</c:v>
                </c:pt>
                <c:pt idx="14">
                  <c:v>577</c:v>
                </c:pt>
                <c:pt idx="15">
                  <c:v>577</c:v>
                </c:pt>
                <c:pt idx="16">
                  <c:v>688</c:v>
                </c:pt>
                <c:pt idx="17">
                  <c:v>688</c:v>
                </c:pt>
                <c:pt idx="18">
                  <c:v>688</c:v>
                </c:pt>
                <c:pt idx="19">
                  <c:v>688</c:v>
                </c:pt>
                <c:pt idx="20">
                  <c:v>688</c:v>
                </c:pt>
                <c:pt idx="21">
                  <c:v>688</c:v>
                </c:pt>
                <c:pt idx="22">
                  <c:v>688</c:v>
                </c:pt>
                <c:pt idx="23">
                  <c:v>688</c:v>
                </c:pt>
                <c:pt idx="24">
                  <c:v>688</c:v>
                </c:pt>
                <c:pt idx="25">
                  <c:v>688</c:v>
                </c:pt>
                <c:pt idx="26">
                  <c:v>688</c:v>
                </c:pt>
                <c:pt idx="27">
                  <c:v>688</c:v>
                </c:pt>
                <c:pt idx="28">
                  <c:v>688</c:v>
                </c:pt>
                <c:pt idx="29">
                  <c:v>688</c:v>
                </c:pt>
                <c:pt idx="30">
                  <c:v>688</c:v>
                </c:pt>
                <c:pt idx="31">
                  <c:v>688</c:v>
                </c:pt>
                <c:pt idx="32">
                  <c:v>688</c:v>
                </c:pt>
                <c:pt idx="33">
                  <c:v>688</c:v>
                </c:pt>
                <c:pt idx="34">
                  <c:v>688</c:v>
                </c:pt>
                <c:pt idx="35">
                  <c:v>688</c:v>
                </c:pt>
                <c:pt idx="36">
                  <c:v>688</c:v>
                </c:pt>
                <c:pt idx="37">
                  <c:v>688</c:v>
                </c:pt>
                <c:pt idx="38">
                  <c:v>688</c:v>
                </c:pt>
                <c:pt idx="39">
                  <c:v>732</c:v>
                </c:pt>
                <c:pt idx="40">
                  <c:v>732</c:v>
                </c:pt>
                <c:pt idx="41">
                  <c:v>732</c:v>
                </c:pt>
                <c:pt idx="42">
                  <c:v>732</c:v>
                </c:pt>
                <c:pt idx="43">
                  <c:v>784</c:v>
                </c:pt>
                <c:pt idx="44">
                  <c:v>784</c:v>
                </c:pt>
                <c:pt idx="45">
                  <c:v>784</c:v>
                </c:pt>
                <c:pt idx="46">
                  <c:v>784</c:v>
                </c:pt>
                <c:pt idx="47">
                  <c:v>784</c:v>
                </c:pt>
                <c:pt idx="48">
                  <c:v>784</c:v>
                </c:pt>
                <c:pt idx="49">
                  <c:v>784</c:v>
                </c:pt>
                <c:pt idx="50">
                  <c:v>784</c:v>
                </c:pt>
                <c:pt idx="51">
                  <c:v>784</c:v>
                </c:pt>
                <c:pt idx="52">
                  <c:v>784</c:v>
                </c:pt>
                <c:pt idx="53">
                  <c:v>784</c:v>
                </c:pt>
                <c:pt idx="54">
                  <c:v>884</c:v>
                </c:pt>
              </c:numCache>
            </c:numRef>
          </c:val>
          <c:extLst>
            <c:ext xmlns:c16="http://schemas.microsoft.com/office/drawing/2014/chart" uri="{C3380CC4-5D6E-409C-BE32-E72D297353CC}">
              <c16:uniqueId val="{00000003-ABB5-4688-994D-A16572AB8A35}"/>
            </c:ext>
          </c:extLst>
        </c:ser>
        <c:ser>
          <c:idx val="5"/>
          <c:order val="10"/>
          <c:tx>
            <c:v>MDU</c:v>
          </c:tx>
          <c:spPr>
            <a:solidFill>
              <a:schemeClr val="accent6">
                <a:lumMod val="75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1970-2022'!$B$127:$BD$127</c:f>
              <c:numCache>
                <c:formatCode>General</c:formatCode>
                <c:ptCount val="55"/>
                <c:pt idx="0">
                  <c:v>57</c:v>
                </c:pt>
                <c:pt idx="1">
                  <c:v>57</c:v>
                </c:pt>
                <c:pt idx="2">
                  <c:v>80.3</c:v>
                </c:pt>
                <c:pt idx="3">
                  <c:v>80.3</c:v>
                </c:pt>
                <c:pt idx="4">
                  <c:v>80.3</c:v>
                </c:pt>
                <c:pt idx="5">
                  <c:v>80.3</c:v>
                </c:pt>
                <c:pt idx="6">
                  <c:v>80.3</c:v>
                </c:pt>
                <c:pt idx="7">
                  <c:v>80.3</c:v>
                </c:pt>
                <c:pt idx="8">
                  <c:v>80.3</c:v>
                </c:pt>
                <c:pt idx="9">
                  <c:v>121</c:v>
                </c:pt>
                <c:pt idx="10">
                  <c:v>121</c:v>
                </c:pt>
                <c:pt idx="11">
                  <c:v>121</c:v>
                </c:pt>
                <c:pt idx="12">
                  <c:v>121</c:v>
                </c:pt>
                <c:pt idx="13">
                  <c:v>121</c:v>
                </c:pt>
                <c:pt idx="14">
                  <c:v>121</c:v>
                </c:pt>
                <c:pt idx="15">
                  <c:v>121</c:v>
                </c:pt>
                <c:pt idx="16">
                  <c:v>114</c:v>
                </c:pt>
                <c:pt idx="17">
                  <c:v>114</c:v>
                </c:pt>
                <c:pt idx="18">
                  <c:v>114</c:v>
                </c:pt>
                <c:pt idx="19">
                  <c:v>114</c:v>
                </c:pt>
                <c:pt idx="20">
                  <c:v>114</c:v>
                </c:pt>
                <c:pt idx="21">
                  <c:v>114</c:v>
                </c:pt>
                <c:pt idx="22">
                  <c:v>114</c:v>
                </c:pt>
                <c:pt idx="23">
                  <c:v>114</c:v>
                </c:pt>
                <c:pt idx="24">
                  <c:v>114</c:v>
                </c:pt>
                <c:pt idx="25">
                  <c:v>114</c:v>
                </c:pt>
                <c:pt idx="26">
                  <c:v>114</c:v>
                </c:pt>
                <c:pt idx="27">
                  <c:v>114</c:v>
                </c:pt>
                <c:pt idx="28">
                  <c:v>114</c:v>
                </c:pt>
                <c:pt idx="29">
                  <c:v>114</c:v>
                </c:pt>
                <c:pt idx="30">
                  <c:v>114</c:v>
                </c:pt>
                <c:pt idx="31">
                  <c:v>114</c:v>
                </c:pt>
                <c:pt idx="32">
                  <c:v>114</c:v>
                </c:pt>
                <c:pt idx="33">
                  <c:v>157</c:v>
                </c:pt>
                <c:pt idx="34">
                  <c:v>157</c:v>
                </c:pt>
                <c:pt idx="35">
                  <c:v>157</c:v>
                </c:pt>
                <c:pt idx="36">
                  <c:v>157</c:v>
                </c:pt>
                <c:pt idx="37">
                  <c:v>177</c:v>
                </c:pt>
                <c:pt idx="38">
                  <c:v>177</c:v>
                </c:pt>
                <c:pt idx="39">
                  <c:v>177</c:v>
                </c:pt>
                <c:pt idx="40">
                  <c:v>187</c:v>
                </c:pt>
                <c:pt idx="41">
                  <c:v>187</c:v>
                </c:pt>
                <c:pt idx="42">
                  <c:v>187</c:v>
                </c:pt>
                <c:pt idx="43">
                  <c:v>187</c:v>
                </c:pt>
                <c:pt idx="44">
                  <c:v>187</c:v>
                </c:pt>
                <c:pt idx="45">
                  <c:v>205.6</c:v>
                </c:pt>
                <c:pt idx="46">
                  <c:v>205.6</c:v>
                </c:pt>
                <c:pt idx="47">
                  <c:v>205.6</c:v>
                </c:pt>
                <c:pt idx="48">
                  <c:v>205.6</c:v>
                </c:pt>
                <c:pt idx="49">
                  <c:v>205.6</c:v>
                </c:pt>
                <c:pt idx="50">
                  <c:v>205.6</c:v>
                </c:pt>
                <c:pt idx="51">
                  <c:v>155.60000000000002</c:v>
                </c:pt>
                <c:pt idx="52">
                  <c:v>155.60000000000002</c:v>
                </c:pt>
                <c:pt idx="53">
                  <c:v>155.60000000000002</c:v>
                </c:pt>
                <c:pt idx="54">
                  <c:v>155.60000000000002</c:v>
                </c:pt>
              </c:numCache>
            </c:numRef>
          </c:val>
          <c:extLst>
            <c:ext xmlns:c16="http://schemas.microsoft.com/office/drawing/2014/chart" uri="{C3380CC4-5D6E-409C-BE32-E72D297353CC}">
              <c16:uniqueId val="{00000002-ABB5-4688-994D-A16572AB8A35}"/>
            </c:ext>
          </c:extLst>
        </c:ser>
        <c:ser>
          <c:idx val="15"/>
          <c:order val="11"/>
          <c:tx>
            <c:v>Basin</c:v>
          </c:tx>
          <c:spPr>
            <a:solidFill>
              <a:srgbClr val="F79B4F"/>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1970-2022'!$B$138:$BD$138</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91</c:v>
                </c:pt>
                <c:pt idx="41">
                  <c:v>91</c:v>
                </c:pt>
                <c:pt idx="42">
                  <c:v>91</c:v>
                </c:pt>
                <c:pt idx="43">
                  <c:v>91</c:v>
                </c:pt>
                <c:pt idx="44">
                  <c:v>91</c:v>
                </c:pt>
                <c:pt idx="45">
                  <c:v>91</c:v>
                </c:pt>
                <c:pt idx="46">
                  <c:v>91</c:v>
                </c:pt>
                <c:pt idx="47">
                  <c:v>91</c:v>
                </c:pt>
                <c:pt idx="48">
                  <c:v>91</c:v>
                </c:pt>
                <c:pt idx="49">
                  <c:v>91</c:v>
                </c:pt>
                <c:pt idx="50">
                  <c:v>91</c:v>
                </c:pt>
                <c:pt idx="51">
                  <c:v>91</c:v>
                </c:pt>
                <c:pt idx="52">
                  <c:v>91</c:v>
                </c:pt>
                <c:pt idx="53">
                  <c:v>91</c:v>
                </c:pt>
                <c:pt idx="54">
                  <c:v>91</c:v>
                </c:pt>
              </c:numCache>
            </c:numRef>
          </c:val>
          <c:extLst>
            <c:ext xmlns:c16="http://schemas.microsoft.com/office/drawing/2014/chart" uri="{C3380CC4-5D6E-409C-BE32-E72D297353CC}">
              <c16:uniqueId val="{0000000F-ABB5-4688-994D-A16572AB8A35}"/>
            </c:ext>
          </c:extLst>
        </c:ser>
        <c:ser>
          <c:idx val="8"/>
          <c:order val="12"/>
          <c:tx>
            <c:v>Puget Sound</c:v>
          </c:tx>
          <c:spPr>
            <a:solidFill>
              <a:schemeClr val="bg2">
                <a:lumMod val="50000"/>
              </a:schemeClr>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1970-2022'!$B$134:$BD$134</c:f>
              <c:numCache>
                <c:formatCode>General</c:formatCode>
                <c:ptCount val="55"/>
                <c:pt idx="0">
                  <c:v>0</c:v>
                </c:pt>
                <c:pt idx="1">
                  <c:v>0</c:v>
                </c:pt>
                <c:pt idx="2">
                  <c:v>0</c:v>
                </c:pt>
                <c:pt idx="3">
                  <c:v>0</c:v>
                </c:pt>
                <c:pt idx="4">
                  <c:v>0</c:v>
                </c:pt>
                <c:pt idx="5">
                  <c:v>153.5</c:v>
                </c:pt>
                <c:pt idx="6">
                  <c:v>153.5</c:v>
                </c:pt>
                <c:pt idx="7">
                  <c:v>307</c:v>
                </c:pt>
                <c:pt idx="8">
                  <c:v>307</c:v>
                </c:pt>
                <c:pt idx="9">
                  <c:v>307</c:v>
                </c:pt>
                <c:pt idx="10">
                  <c:v>307</c:v>
                </c:pt>
                <c:pt idx="11">
                  <c:v>307</c:v>
                </c:pt>
                <c:pt idx="12">
                  <c:v>307</c:v>
                </c:pt>
                <c:pt idx="13">
                  <c:v>307</c:v>
                </c:pt>
                <c:pt idx="14">
                  <c:v>492</c:v>
                </c:pt>
                <c:pt idx="15">
                  <c:v>492</c:v>
                </c:pt>
                <c:pt idx="16">
                  <c:v>677</c:v>
                </c:pt>
                <c:pt idx="17">
                  <c:v>677</c:v>
                </c:pt>
                <c:pt idx="18">
                  <c:v>677</c:v>
                </c:pt>
                <c:pt idx="19">
                  <c:v>677</c:v>
                </c:pt>
                <c:pt idx="20">
                  <c:v>677</c:v>
                </c:pt>
                <c:pt idx="21">
                  <c:v>677</c:v>
                </c:pt>
                <c:pt idx="22">
                  <c:v>677</c:v>
                </c:pt>
                <c:pt idx="23">
                  <c:v>677</c:v>
                </c:pt>
                <c:pt idx="24">
                  <c:v>677</c:v>
                </c:pt>
                <c:pt idx="25">
                  <c:v>677</c:v>
                </c:pt>
                <c:pt idx="26">
                  <c:v>677</c:v>
                </c:pt>
                <c:pt idx="27">
                  <c:v>677</c:v>
                </c:pt>
                <c:pt idx="28">
                  <c:v>677</c:v>
                </c:pt>
                <c:pt idx="29">
                  <c:v>677</c:v>
                </c:pt>
                <c:pt idx="30">
                  <c:v>677</c:v>
                </c:pt>
                <c:pt idx="31">
                  <c:v>677</c:v>
                </c:pt>
                <c:pt idx="32">
                  <c:v>677</c:v>
                </c:pt>
                <c:pt idx="33">
                  <c:v>677</c:v>
                </c:pt>
                <c:pt idx="34">
                  <c:v>677</c:v>
                </c:pt>
                <c:pt idx="35">
                  <c:v>677</c:v>
                </c:pt>
                <c:pt idx="36">
                  <c:v>677</c:v>
                </c:pt>
                <c:pt idx="37">
                  <c:v>677</c:v>
                </c:pt>
                <c:pt idx="38">
                  <c:v>677</c:v>
                </c:pt>
                <c:pt idx="39">
                  <c:v>677</c:v>
                </c:pt>
                <c:pt idx="40">
                  <c:v>677</c:v>
                </c:pt>
                <c:pt idx="41">
                  <c:v>677</c:v>
                </c:pt>
                <c:pt idx="42">
                  <c:v>677</c:v>
                </c:pt>
                <c:pt idx="43">
                  <c:v>677</c:v>
                </c:pt>
                <c:pt idx="44">
                  <c:v>677</c:v>
                </c:pt>
                <c:pt idx="45">
                  <c:v>677</c:v>
                </c:pt>
                <c:pt idx="46">
                  <c:v>677</c:v>
                </c:pt>
                <c:pt idx="47">
                  <c:v>677</c:v>
                </c:pt>
                <c:pt idx="48">
                  <c:v>677</c:v>
                </c:pt>
                <c:pt idx="49">
                  <c:v>677</c:v>
                </c:pt>
                <c:pt idx="50">
                  <c:v>370</c:v>
                </c:pt>
                <c:pt idx="51">
                  <c:v>370</c:v>
                </c:pt>
                <c:pt idx="52">
                  <c:v>720</c:v>
                </c:pt>
                <c:pt idx="53">
                  <c:v>720</c:v>
                </c:pt>
                <c:pt idx="54">
                  <c:v>720</c:v>
                </c:pt>
              </c:numCache>
            </c:numRef>
          </c:val>
          <c:extLst>
            <c:ext xmlns:c16="http://schemas.microsoft.com/office/drawing/2014/chart" uri="{C3380CC4-5D6E-409C-BE32-E72D297353CC}">
              <c16:uniqueId val="{00000004-ABB5-4688-994D-A16572AB8A35}"/>
            </c:ext>
          </c:extLst>
        </c:ser>
        <c:ser>
          <c:idx val="18"/>
          <c:order val="13"/>
          <c:tx>
            <c:strRef>
              <c:f>'[1]Capacity 1970-2022'!$A$142</c:f>
              <c:strCache>
                <c:ptCount val="1"/>
                <c:pt idx="0">
                  <c:v>Hardin/Big Horn Data Plant</c:v>
                </c:pt>
              </c:strCache>
            </c:strRef>
          </c:tx>
          <c:spPr>
            <a:solidFill>
              <a:srgbClr val="99660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1970-2022'!$B$142:$BD$142</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115.7</c:v>
                </c:pt>
                <c:pt idx="37">
                  <c:v>115.7</c:v>
                </c:pt>
                <c:pt idx="38">
                  <c:v>115.7</c:v>
                </c:pt>
                <c:pt idx="39">
                  <c:v>115.7</c:v>
                </c:pt>
                <c:pt idx="40">
                  <c:v>115.7</c:v>
                </c:pt>
                <c:pt idx="41">
                  <c:v>115.7</c:v>
                </c:pt>
                <c:pt idx="42">
                  <c:v>115.7</c:v>
                </c:pt>
                <c:pt idx="43">
                  <c:v>115.7</c:v>
                </c:pt>
                <c:pt idx="44">
                  <c:v>115.7</c:v>
                </c:pt>
                <c:pt idx="45">
                  <c:v>115.7</c:v>
                </c:pt>
                <c:pt idx="46">
                  <c:v>115.7</c:v>
                </c:pt>
                <c:pt idx="47">
                  <c:v>115.7</c:v>
                </c:pt>
                <c:pt idx="48">
                  <c:v>115.7</c:v>
                </c:pt>
                <c:pt idx="49">
                  <c:v>115.7</c:v>
                </c:pt>
                <c:pt idx="50">
                  <c:v>115.7</c:v>
                </c:pt>
                <c:pt idx="51">
                  <c:v>115.7</c:v>
                </c:pt>
                <c:pt idx="52">
                  <c:v>115.7</c:v>
                </c:pt>
                <c:pt idx="53">
                  <c:v>115.7</c:v>
                </c:pt>
                <c:pt idx="54">
                  <c:v>115.7</c:v>
                </c:pt>
              </c:numCache>
            </c:numRef>
          </c:val>
          <c:extLst>
            <c:ext xmlns:c16="http://schemas.microsoft.com/office/drawing/2014/chart" uri="{C3380CC4-5D6E-409C-BE32-E72D297353CC}">
              <c16:uniqueId val="{00000000-1DCD-4A9E-921B-2C3E90E63624}"/>
            </c:ext>
          </c:extLst>
        </c:ser>
        <c:ser>
          <c:idx val="10"/>
          <c:order val="14"/>
          <c:tx>
            <c:v>Pacficorp</c:v>
          </c:tx>
          <c:spPr>
            <a:solidFill>
              <a:srgbClr val="7C650A"/>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1970-2022'!$B$136:$BD$136</c:f>
              <c:numCache>
                <c:formatCode>General</c:formatCode>
                <c:ptCount val="55"/>
                <c:pt idx="0">
                  <c:v>4.0999999999999996</c:v>
                </c:pt>
                <c:pt idx="1">
                  <c:v>4.0999999999999996</c:v>
                </c:pt>
                <c:pt idx="2">
                  <c:v>4.0999999999999996</c:v>
                </c:pt>
                <c:pt idx="3">
                  <c:v>4.0999999999999996</c:v>
                </c:pt>
                <c:pt idx="4">
                  <c:v>4.0999999999999996</c:v>
                </c:pt>
                <c:pt idx="5">
                  <c:v>4.0999999999999996</c:v>
                </c:pt>
                <c:pt idx="6">
                  <c:v>4.0999999999999996</c:v>
                </c:pt>
                <c:pt idx="7">
                  <c:v>4.0999999999999996</c:v>
                </c:pt>
                <c:pt idx="8">
                  <c:v>4.0999999999999996</c:v>
                </c:pt>
                <c:pt idx="9">
                  <c:v>4.0999999999999996</c:v>
                </c:pt>
                <c:pt idx="10">
                  <c:v>4.0999999999999996</c:v>
                </c:pt>
                <c:pt idx="11">
                  <c:v>4.0999999999999996</c:v>
                </c:pt>
                <c:pt idx="12">
                  <c:v>4.0999999999999996</c:v>
                </c:pt>
                <c:pt idx="13">
                  <c:v>4.0999999999999996</c:v>
                </c:pt>
                <c:pt idx="14">
                  <c:v>78.099999999999994</c:v>
                </c:pt>
                <c:pt idx="15">
                  <c:v>78.099999999999994</c:v>
                </c:pt>
                <c:pt idx="16">
                  <c:v>152.1</c:v>
                </c:pt>
                <c:pt idx="17">
                  <c:v>152.1</c:v>
                </c:pt>
                <c:pt idx="18">
                  <c:v>152.1</c:v>
                </c:pt>
                <c:pt idx="19">
                  <c:v>152.1</c:v>
                </c:pt>
                <c:pt idx="20">
                  <c:v>152.1</c:v>
                </c:pt>
                <c:pt idx="21">
                  <c:v>152.1</c:v>
                </c:pt>
                <c:pt idx="22">
                  <c:v>152.1</c:v>
                </c:pt>
                <c:pt idx="23">
                  <c:v>152.1</c:v>
                </c:pt>
                <c:pt idx="24">
                  <c:v>152.1</c:v>
                </c:pt>
                <c:pt idx="25">
                  <c:v>152.1</c:v>
                </c:pt>
                <c:pt idx="26">
                  <c:v>152.1</c:v>
                </c:pt>
                <c:pt idx="27">
                  <c:v>152.1</c:v>
                </c:pt>
                <c:pt idx="28">
                  <c:v>152.1</c:v>
                </c:pt>
                <c:pt idx="29">
                  <c:v>152.1</c:v>
                </c:pt>
                <c:pt idx="30">
                  <c:v>152.1</c:v>
                </c:pt>
                <c:pt idx="31">
                  <c:v>152.1</c:v>
                </c:pt>
                <c:pt idx="32">
                  <c:v>152.1</c:v>
                </c:pt>
                <c:pt idx="33">
                  <c:v>152.1</c:v>
                </c:pt>
                <c:pt idx="34">
                  <c:v>152.1</c:v>
                </c:pt>
                <c:pt idx="35">
                  <c:v>152.1</c:v>
                </c:pt>
                <c:pt idx="36">
                  <c:v>152.1</c:v>
                </c:pt>
                <c:pt idx="37">
                  <c:v>152.1</c:v>
                </c:pt>
                <c:pt idx="38">
                  <c:v>152.1</c:v>
                </c:pt>
                <c:pt idx="39">
                  <c:v>152.1</c:v>
                </c:pt>
                <c:pt idx="40">
                  <c:v>152.1</c:v>
                </c:pt>
                <c:pt idx="41">
                  <c:v>152.1</c:v>
                </c:pt>
                <c:pt idx="42">
                  <c:v>152.1</c:v>
                </c:pt>
                <c:pt idx="43">
                  <c:v>152.1</c:v>
                </c:pt>
                <c:pt idx="44">
                  <c:v>152.1</c:v>
                </c:pt>
                <c:pt idx="45">
                  <c:v>152.1</c:v>
                </c:pt>
                <c:pt idx="46">
                  <c:v>152.1</c:v>
                </c:pt>
                <c:pt idx="47">
                  <c:v>152.1</c:v>
                </c:pt>
                <c:pt idx="48">
                  <c:v>152.1</c:v>
                </c:pt>
                <c:pt idx="49">
                  <c:v>152.1</c:v>
                </c:pt>
                <c:pt idx="50">
                  <c:v>152.1</c:v>
                </c:pt>
                <c:pt idx="51">
                  <c:v>152.1</c:v>
                </c:pt>
                <c:pt idx="52">
                  <c:v>392.1</c:v>
                </c:pt>
                <c:pt idx="53">
                  <c:v>392.1</c:v>
                </c:pt>
                <c:pt idx="54">
                  <c:v>392.1</c:v>
                </c:pt>
              </c:numCache>
            </c:numRef>
          </c:val>
          <c:extLst>
            <c:ext xmlns:c16="http://schemas.microsoft.com/office/drawing/2014/chart" uri="{C3380CC4-5D6E-409C-BE32-E72D297353CC}">
              <c16:uniqueId val="{00000005-ABB5-4688-994D-A16572AB8A35}"/>
            </c:ext>
          </c:extLst>
        </c:ser>
        <c:ser>
          <c:idx val="9"/>
          <c:order val="15"/>
          <c:tx>
            <c:v>Portland General</c:v>
          </c:tx>
          <c:spPr>
            <a:solidFill>
              <a:srgbClr val="6A5334"/>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1970-2022'!$B$135:$BD$135</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148</c:v>
                </c:pt>
                <c:pt idx="15">
                  <c:v>148</c:v>
                </c:pt>
                <c:pt idx="16">
                  <c:v>296</c:v>
                </c:pt>
                <c:pt idx="17">
                  <c:v>296</c:v>
                </c:pt>
                <c:pt idx="18">
                  <c:v>296</c:v>
                </c:pt>
                <c:pt idx="19">
                  <c:v>296</c:v>
                </c:pt>
                <c:pt idx="20">
                  <c:v>296</c:v>
                </c:pt>
                <c:pt idx="21">
                  <c:v>296</c:v>
                </c:pt>
                <c:pt idx="22">
                  <c:v>296</c:v>
                </c:pt>
                <c:pt idx="23">
                  <c:v>296</c:v>
                </c:pt>
                <c:pt idx="24">
                  <c:v>296</c:v>
                </c:pt>
                <c:pt idx="25">
                  <c:v>296</c:v>
                </c:pt>
                <c:pt idx="26">
                  <c:v>296</c:v>
                </c:pt>
                <c:pt idx="27">
                  <c:v>296</c:v>
                </c:pt>
                <c:pt idx="28">
                  <c:v>296</c:v>
                </c:pt>
                <c:pt idx="29">
                  <c:v>296</c:v>
                </c:pt>
                <c:pt idx="30">
                  <c:v>296</c:v>
                </c:pt>
                <c:pt idx="31">
                  <c:v>296</c:v>
                </c:pt>
                <c:pt idx="32">
                  <c:v>296</c:v>
                </c:pt>
                <c:pt idx="33">
                  <c:v>296</c:v>
                </c:pt>
                <c:pt idx="34">
                  <c:v>296</c:v>
                </c:pt>
                <c:pt idx="35">
                  <c:v>296</c:v>
                </c:pt>
                <c:pt idx="36">
                  <c:v>296</c:v>
                </c:pt>
                <c:pt idx="37">
                  <c:v>296</c:v>
                </c:pt>
                <c:pt idx="38">
                  <c:v>296</c:v>
                </c:pt>
                <c:pt idx="39">
                  <c:v>296</c:v>
                </c:pt>
                <c:pt idx="40">
                  <c:v>296</c:v>
                </c:pt>
                <c:pt idx="41">
                  <c:v>296</c:v>
                </c:pt>
                <c:pt idx="42">
                  <c:v>296</c:v>
                </c:pt>
                <c:pt idx="43">
                  <c:v>296</c:v>
                </c:pt>
                <c:pt idx="44">
                  <c:v>296</c:v>
                </c:pt>
                <c:pt idx="45">
                  <c:v>296</c:v>
                </c:pt>
                <c:pt idx="46">
                  <c:v>296</c:v>
                </c:pt>
                <c:pt idx="47">
                  <c:v>296</c:v>
                </c:pt>
                <c:pt idx="48">
                  <c:v>296</c:v>
                </c:pt>
                <c:pt idx="49">
                  <c:v>296</c:v>
                </c:pt>
                <c:pt idx="50">
                  <c:v>296</c:v>
                </c:pt>
                <c:pt idx="51">
                  <c:v>296</c:v>
                </c:pt>
                <c:pt idx="52">
                  <c:v>296</c:v>
                </c:pt>
                <c:pt idx="53">
                  <c:v>596</c:v>
                </c:pt>
                <c:pt idx="54">
                  <c:v>596</c:v>
                </c:pt>
              </c:numCache>
            </c:numRef>
          </c:val>
          <c:extLst>
            <c:ext xmlns:c16="http://schemas.microsoft.com/office/drawing/2014/chart" uri="{C3380CC4-5D6E-409C-BE32-E72D297353CC}">
              <c16:uniqueId val="{00000006-ABB5-4688-994D-A16572AB8A35}"/>
            </c:ext>
          </c:extLst>
        </c:ser>
        <c:ser>
          <c:idx val="11"/>
          <c:order val="16"/>
          <c:tx>
            <c:strRef>
              <c:f>'[1]Capacity 1970-2022'!$A$137</c:f>
              <c:strCache>
                <c:ptCount val="1"/>
                <c:pt idx="0">
                  <c:v>Berkshire Hathaway (was Naturener)</c:v>
                </c:pt>
              </c:strCache>
            </c:strRef>
          </c:tx>
          <c:spPr>
            <a:solidFill>
              <a:srgbClr val="00B05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1970-2022'!$B$137:$BD$137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210</c:v>
                </c:pt>
                <c:pt idx="41">
                  <c:v>210</c:v>
                </c:pt>
                <c:pt idx="42">
                  <c:v>399</c:v>
                </c:pt>
                <c:pt idx="43">
                  <c:v>399</c:v>
                </c:pt>
                <c:pt idx="44">
                  <c:v>399</c:v>
                </c:pt>
                <c:pt idx="45">
                  <c:v>399</c:v>
                </c:pt>
                <c:pt idx="46">
                  <c:v>399</c:v>
                </c:pt>
                <c:pt idx="47">
                  <c:v>399</c:v>
                </c:pt>
                <c:pt idx="48">
                  <c:v>399</c:v>
                </c:pt>
                <c:pt idx="49">
                  <c:v>399</c:v>
                </c:pt>
                <c:pt idx="50">
                  <c:v>399</c:v>
                </c:pt>
                <c:pt idx="51">
                  <c:v>399</c:v>
                </c:pt>
                <c:pt idx="52">
                  <c:v>399</c:v>
                </c:pt>
                <c:pt idx="53">
                  <c:v>399</c:v>
                </c:pt>
                <c:pt idx="54">
                  <c:v>399</c:v>
                </c:pt>
              </c:numCache>
            </c:numRef>
          </c:val>
          <c:extLst>
            <c:ext xmlns:c16="http://schemas.microsoft.com/office/drawing/2014/chart" uri="{C3380CC4-5D6E-409C-BE32-E72D297353CC}">
              <c16:uniqueId val="{0000000E-ABB5-4688-994D-A16572AB8A35}"/>
            </c:ext>
          </c:extLst>
        </c:ser>
        <c:ser>
          <c:idx val="14"/>
          <c:order val="17"/>
          <c:tx>
            <c:v>Other owners</c:v>
          </c:tx>
          <c:spPr>
            <a:solidFill>
              <a:srgbClr val="FFFF00"/>
            </a:solidFill>
            <a:ln w="25400">
              <a:noFill/>
            </a:ln>
            <a:effectLst/>
          </c:spPr>
          <c:cat>
            <c:numRef>
              <c:f>'[1]Capacity 1970-2022'!$B$1:$BD$1</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'[1]Capacity 1970-2022'!$B$143:$BD$143</c:f>
              <c:numCache>
                <c:formatCode>General</c:formatCode>
                <c:ptCount val="55"/>
                <c:pt idx="0">
                  <c:v>17</c:v>
                </c:pt>
                <c:pt idx="1">
                  <c:v>17</c:v>
                </c:pt>
                <c:pt idx="2">
                  <c:v>17</c:v>
                </c:pt>
                <c:pt idx="3">
                  <c:v>17</c:v>
                </c:pt>
                <c:pt idx="4">
                  <c:v>17</c:v>
                </c:pt>
                <c:pt idx="5">
                  <c:v>17</c:v>
                </c:pt>
                <c:pt idx="6">
                  <c:v>17</c:v>
                </c:pt>
                <c:pt idx="7">
                  <c:v>17</c:v>
                </c:pt>
                <c:pt idx="8">
                  <c:v>17</c:v>
                </c:pt>
                <c:pt idx="9">
                  <c:v>17</c:v>
                </c:pt>
                <c:pt idx="10">
                  <c:v>17</c:v>
                </c:pt>
                <c:pt idx="11">
                  <c:v>17</c:v>
                </c:pt>
                <c:pt idx="12">
                  <c:v>17</c:v>
                </c:pt>
                <c:pt idx="13">
                  <c:v>17</c:v>
                </c:pt>
                <c:pt idx="14">
                  <c:v>17</c:v>
                </c:pt>
                <c:pt idx="15">
                  <c:v>17</c:v>
                </c:pt>
                <c:pt idx="16">
                  <c:v>17</c:v>
                </c:pt>
                <c:pt idx="17">
                  <c:v>17</c:v>
                </c:pt>
                <c:pt idx="18">
                  <c:v>17</c:v>
                </c:pt>
                <c:pt idx="19">
                  <c:v>17</c:v>
                </c:pt>
                <c:pt idx="20">
                  <c:v>17</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6.1</c:v>
                </c:pt>
                <c:pt idx="40">
                  <c:v>11.6</c:v>
                </c:pt>
                <c:pt idx="41">
                  <c:v>11.6</c:v>
                </c:pt>
                <c:pt idx="42">
                  <c:v>11.6</c:v>
                </c:pt>
                <c:pt idx="43">
                  <c:v>14.1</c:v>
                </c:pt>
                <c:pt idx="44">
                  <c:v>14.1</c:v>
                </c:pt>
                <c:pt idx="45">
                  <c:v>14.1</c:v>
                </c:pt>
                <c:pt idx="46">
                  <c:v>14.1</c:v>
                </c:pt>
                <c:pt idx="47">
                  <c:v>14.1</c:v>
                </c:pt>
                <c:pt idx="48">
                  <c:v>14.1</c:v>
                </c:pt>
                <c:pt idx="49">
                  <c:v>14.1</c:v>
                </c:pt>
                <c:pt idx="50">
                  <c:v>14.1</c:v>
                </c:pt>
                <c:pt idx="51">
                  <c:v>14.1</c:v>
                </c:pt>
                <c:pt idx="52">
                  <c:v>14.1</c:v>
                </c:pt>
                <c:pt idx="53">
                  <c:v>15.7</c:v>
                </c:pt>
                <c:pt idx="54">
                  <c:v>15.7</c:v>
                </c:pt>
              </c:numCache>
            </c:numRef>
          </c:val>
          <c:extLst>
            <c:ext xmlns:c16="http://schemas.microsoft.com/office/drawing/2014/chart" uri="{C3380CC4-5D6E-409C-BE32-E72D297353CC}">
              <c16:uniqueId val="{00000010-ABB5-4688-994D-A16572AB8A35}"/>
            </c:ext>
          </c:extLst>
        </c:ser>
        <c:dLbls>
          <c:showLegendKey val="0"/>
          <c:showVal val="0"/>
          <c:showCatName val="0"/>
          <c:showSerName val="0"/>
          <c:showPercent val="0"/>
          <c:showBubbleSize val="0"/>
        </c:dLbls>
        <c:axId val="600422880"/>
        <c:axId val="600419272"/>
      </c:areaChart>
      <c:catAx>
        <c:axId val="6004228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19272"/>
        <c:crosses val="autoZero"/>
        <c:auto val="1"/>
        <c:lblAlgn val="ctr"/>
        <c:lblOffset val="100"/>
        <c:noMultiLvlLbl val="0"/>
      </c:catAx>
      <c:valAx>
        <c:axId val="60041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22880"/>
        <c:crosses val="autoZero"/>
        <c:crossBetween val="midCat"/>
      </c:valAx>
      <c:spPr>
        <a:noFill/>
        <a:ln>
          <a:noFill/>
        </a:ln>
        <a:effectLst/>
      </c:spPr>
    </c:plotArea>
    <c:legend>
      <c:legendPos val="r"/>
      <c:layout>
        <c:manualLayout>
          <c:xMode val="edge"/>
          <c:yMode val="edge"/>
          <c:x val="0.83963909715746499"/>
          <c:y val="0.13811497129167097"/>
          <c:w val="0.15505022838687915"/>
          <c:h val="0.7757214711960288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 E3b'!$U$3</c:f>
              <c:strCache>
                <c:ptCount val="1"/>
                <c:pt idx="0">
                  <c:v>aMW</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D67E-4F71-AE3F-A080FC070A4C}"/>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D67E-4F71-AE3F-A080FC070A4C}"/>
              </c:ext>
            </c:extLst>
          </c:dPt>
          <c:dPt>
            <c:idx val="2"/>
            <c:bubble3D val="0"/>
            <c:spPr>
              <a:solidFill>
                <a:srgbClr val="0000FF"/>
              </a:solidFill>
              <a:ln w="19050">
                <a:solidFill>
                  <a:schemeClr val="lt1"/>
                </a:solidFill>
              </a:ln>
              <a:effectLst/>
            </c:spPr>
            <c:extLst>
              <c:ext xmlns:c16="http://schemas.microsoft.com/office/drawing/2014/chart" uri="{C3380CC4-5D6E-409C-BE32-E72D297353CC}">
                <c16:uniqueId val="{00000005-D67E-4F71-AE3F-A080FC070A4C}"/>
              </c:ext>
            </c:extLst>
          </c:dPt>
          <c:dPt>
            <c:idx val="3"/>
            <c:bubble3D val="0"/>
            <c:spPr>
              <a:solidFill>
                <a:srgbClr val="0000FF"/>
              </a:solidFill>
              <a:ln w="19050">
                <a:solidFill>
                  <a:schemeClr val="lt1"/>
                </a:solidFill>
              </a:ln>
              <a:effectLst/>
            </c:spPr>
            <c:extLst>
              <c:ext xmlns:c16="http://schemas.microsoft.com/office/drawing/2014/chart" uri="{C3380CC4-5D6E-409C-BE32-E72D297353CC}">
                <c16:uniqueId val="{00000007-D67E-4F71-AE3F-A080FC070A4C}"/>
              </c:ext>
            </c:extLst>
          </c:dPt>
          <c:dPt>
            <c:idx val="4"/>
            <c:bubble3D val="0"/>
            <c:spPr>
              <a:solidFill>
                <a:srgbClr val="0000FF"/>
              </a:solidFill>
              <a:ln w="19050">
                <a:solidFill>
                  <a:schemeClr val="lt1"/>
                </a:solidFill>
              </a:ln>
              <a:effectLst/>
            </c:spPr>
            <c:extLst>
              <c:ext xmlns:c16="http://schemas.microsoft.com/office/drawing/2014/chart" uri="{C3380CC4-5D6E-409C-BE32-E72D297353CC}">
                <c16:uniqueId val="{00000009-D67E-4F71-AE3F-A080FC070A4C}"/>
              </c:ext>
            </c:extLst>
          </c:dPt>
          <c:dPt>
            <c:idx val="5"/>
            <c:bubble3D val="0"/>
            <c:spPr>
              <a:solidFill>
                <a:srgbClr val="0000FF"/>
              </a:solidFill>
              <a:ln w="19050">
                <a:solidFill>
                  <a:schemeClr val="lt1"/>
                </a:solidFill>
              </a:ln>
              <a:effectLst/>
            </c:spPr>
            <c:extLst>
              <c:ext xmlns:c16="http://schemas.microsoft.com/office/drawing/2014/chart" uri="{C3380CC4-5D6E-409C-BE32-E72D297353CC}">
                <c16:uniqueId val="{0000000B-D67E-4F71-AE3F-A080FC070A4C}"/>
              </c:ext>
            </c:extLst>
          </c:dPt>
          <c:dPt>
            <c:idx val="6"/>
            <c:bubble3D val="0"/>
            <c:spPr>
              <a:solidFill>
                <a:srgbClr val="0000FF"/>
              </a:solidFill>
              <a:ln w="19050">
                <a:solidFill>
                  <a:schemeClr val="lt1"/>
                </a:solidFill>
              </a:ln>
              <a:effectLst/>
            </c:spPr>
            <c:extLst>
              <c:ext xmlns:c16="http://schemas.microsoft.com/office/drawing/2014/chart" uri="{C3380CC4-5D6E-409C-BE32-E72D297353CC}">
                <c16:uniqueId val="{0000000D-D67E-4F71-AE3F-A080FC070A4C}"/>
              </c:ext>
            </c:extLst>
          </c:dPt>
          <c:dPt>
            <c:idx val="7"/>
            <c:bubble3D val="0"/>
            <c:spPr>
              <a:solidFill>
                <a:srgbClr val="0000FF"/>
              </a:solidFill>
              <a:ln w="19050">
                <a:solidFill>
                  <a:schemeClr val="lt1"/>
                </a:solidFill>
              </a:ln>
              <a:effectLst/>
            </c:spPr>
            <c:extLst>
              <c:ext xmlns:c16="http://schemas.microsoft.com/office/drawing/2014/chart" uri="{C3380CC4-5D6E-409C-BE32-E72D297353CC}">
                <c16:uniqueId val="{0000000F-D67E-4F71-AE3F-A080FC070A4C}"/>
              </c:ext>
            </c:extLst>
          </c:dPt>
          <c:dPt>
            <c:idx val="8"/>
            <c:bubble3D val="0"/>
            <c:spPr>
              <a:solidFill>
                <a:srgbClr val="0000FF"/>
              </a:solidFill>
              <a:ln w="19050">
                <a:solidFill>
                  <a:schemeClr val="lt1"/>
                </a:solidFill>
              </a:ln>
              <a:effectLst/>
            </c:spPr>
            <c:extLst>
              <c:ext xmlns:c16="http://schemas.microsoft.com/office/drawing/2014/chart" uri="{C3380CC4-5D6E-409C-BE32-E72D297353CC}">
                <c16:uniqueId val="{00000081-18B5-42A8-91D1-C12DC7C0AAAD}"/>
              </c:ext>
            </c:extLst>
          </c:dPt>
          <c:dPt>
            <c:idx val="9"/>
            <c:bubble3D val="0"/>
            <c:spPr>
              <a:solidFill>
                <a:srgbClr val="0000FF"/>
              </a:solidFill>
              <a:ln w="19050">
                <a:solidFill>
                  <a:schemeClr val="lt1"/>
                </a:solidFill>
              </a:ln>
              <a:effectLst/>
            </c:spPr>
            <c:extLst>
              <c:ext xmlns:c16="http://schemas.microsoft.com/office/drawing/2014/chart" uri="{C3380CC4-5D6E-409C-BE32-E72D297353CC}">
                <c16:uniqueId val="{00000013-D67E-4F71-AE3F-A080FC070A4C}"/>
              </c:ext>
            </c:extLst>
          </c:dPt>
          <c:dPt>
            <c:idx val="1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5-D67E-4F71-AE3F-A080FC070A4C}"/>
              </c:ext>
            </c:extLst>
          </c:dPt>
          <c:dPt>
            <c:idx val="1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7-D67E-4F71-AE3F-A080FC070A4C}"/>
              </c:ext>
            </c:extLst>
          </c:dPt>
          <c:dPt>
            <c:idx val="12"/>
            <c:bubble3D val="0"/>
            <c:spPr>
              <a:solidFill>
                <a:srgbClr val="7030A0"/>
              </a:solidFill>
              <a:ln w="19050">
                <a:solidFill>
                  <a:schemeClr val="lt1"/>
                </a:solidFill>
              </a:ln>
              <a:effectLst/>
            </c:spPr>
            <c:extLst>
              <c:ext xmlns:c16="http://schemas.microsoft.com/office/drawing/2014/chart" uri="{C3380CC4-5D6E-409C-BE32-E72D297353CC}">
                <c16:uniqueId val="{00000019-D67E-4F71-AE3F-A080FC070A4C}"/>
              </c:ext>
            </c:extLst>
          </c:dPt>
          <c:dLbls>
            <c:dLbl>
              <c:idx val="1"/>
              <c:layout>
                <c:manualLayout>
                  <c:x val="1.7748197448696618E-2"/>
                  <c:y val="2.645503104733976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7E-4F71-AE3F-A080FC070A4C}"/>
                </c:ext>
              </c:extLst>
            </c:dLbl>
            <c:dLbl>
              <c:idx val="2"/>
              <c:layout>
                <c:manualLayout>
                  <c:x val="1.4420410427066E-2"/>
                  <c:y val="2.64550310473397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7E-4F71-AE3F-A080FC070A4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E3b'!$T$4:$T$16</c:f>
              <c:strCache>
                <c:ptCount val="13"/>
                <c:pt idx="0">
                  <c:v>Rim Rock Wind Farm</c:v>
                </c:pt>
                <c:pt idx="1">
                  <c:v>Judith Gap Wind</c:v>
                </c:pt>
                <c:pt idx="2">
                  <c:v>Noxon Rapids Dam</c:v>
                </c:pt>
                <c:pt idx="3">
                  <c:v>Hungry Horse Dam</c:v>
                </c:pt>
                <c:pt idx="4">
                  <c:v>Libby Dam</c:v>
                </c:pt>
                <c:pt idx="5">
                  <c:v>Ryan Dam</c:v>
                </c:pt>
                <c:pt idx="6">
                  <c:v>Thompson Falls Dam</c:v>
                </c:pt>
                <c:pt idx="7">
                  <c:v>Selis Ksanka Qlispe Dam</c:v>
                </c:pt>
                <c:pt idx="8">
                  <c:v>Fort Peck Dam</c:v>
                </c:pt>
                <c:pt idx="9">
                  <c:v>Yellowtail Dam</c:v>
                </c:pt>
                <c:pt idx="10">
                  <c:v>Colstrip Coal Fired Plant</c:v>
                </c:pt>
                <c:pt idx="11">
                  <c:v>Corrette Coal Fired Plant</c:v>
                </c:pt>
                <c:pt idx="12">
                  <c:v>All Other Generators</c:v>
                </c:pt>
              </c:strCache>
            </c:strRef>
          </c:cat>
          <c:val>
            <c:numRef>
              <c:f>'Chart E3b'!$U$4:$U$16</c:f>
              <c:numCache>
                <c:formatCode>#,##0</c:formatCode>
                <c:ptCount val="13"/>
                <c:pt idx="0">
                  <c:v>74.004338127853885</c:v>
                </c:pt>
                <c:pt idx="1">
                  <c:v>52.978470319634702</c:v>
                </c:pt>
                <c:pt idx="2">
                  <c:v>195.71646118721461</c:v>
                </c:pt>
                <c:pt idx="3">
                  <c:v>101.67299086757991</c:v>
                </c:pt>
                <c:pt idx="4">
                  <c:v>237.11109589041095</c:v>
                </c:pt>
                <c:pt idx="5">
                  <c:v>51.392465753424659</c:v>
                </c:pt>
                <c:pt idx="6">
                  <c:v>54.760136986301369</c:v>
                </c:pt>
                <c:pt idx="7">
                  <c:v>104.98986301369862</c:v>
                </c:pt>
                <c:pt idx="8">
                  <c:v>116.91123287671233</c:v>
                </c:pt>
                <c:pt idx="9">
                  <c:v>104.29319634703197</c:v>
                </c:pt>
                <c:pt idx="10">
                  <c:v>1385.7576255707763</c:v>
                </c:pt>
                <c:pt idx="11">
                  <c:v>51.904704611872141</c:v>
                </c:pt>
                <c:pt idx="12">
                  <c:v>700</c:v>
                </c:pt>
              </c:numCache>
            </c:numRef>
          </c:val>
          <c:extLst>
            <c:ext xmlns:c16="http://schemas.microsoft.com/office/drawing/2014/chart" uri="{C3380CC4-5D6E-409C-BE32-E72D297353CC}">
              <c16:uniqueId val="{00000001-18B5-42A8-91D1-C12DC7C0AAA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 E3b'!$U$36</c:f>
              <c:strCache>
                <c:ptCount val="1"/>
                <c:pt idx="0">
                  <c:v>MWh</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6390-49D7-AA54-91F198C5D3C3}"/>
              </c:ext>
            </c:extLst>
          </c:dPt>
          <c:dPt>
            <c:idx val="1"/>
            <c:bubble3D val="0"/>
            <c:spPr>
              <a:solidFill>
                <a:srgbClr val="0000FF"/>
              </a:solidFill>
              <a:ln w="19050">
                <a:solidFill>
                  <a:schemeClr val="lt1"/>
                </a:solidFill>
              </a:ln>
              <a:effectLst/>
            </c:spPr>
            <c:extLst>
              <c:ext xmlns:c16="http://schemas.microsoft.com/office/drawing/2014/chart" uri="{C3380CC4-5D6E-409C-BE32-E72D297353CC}">
                <c16:uniqueId val="{00000003-6390-49D7-AA54-91F198C5D3C3}"/>
              </c:ext>
            </c:extLst>
          </c:dPt>
          <c:dPt>
            <c:idx val="2"/>
            <c:bubble3D val="0"/>
            <c:spPr>
              <a:solidFill>
                <a:srgbClr val="0000FF"/>
              </a:solidFill>
              <a:ln w="19050">
                <a:solidFill>
                  <a:schemeClr val="lt1"/>
                </a:solidFill>
              </a:ln>
              <a:effectLst/>
            </c:spPr>
            <c:extLst>
              <c:ext xmlns:c16="http://schemas.microsoft.com/office/drawing/2014/chart" uri="{C3380CC4-5D6E-409C-BE32-E72D297353CC}">
                <c16:uniqueId val="{00000005-6390-49D7-AA54-91F198C5D3C3}"/>
              </c:ext>
            </c:extLst>
          </c:dPt>
          <c:dPt>
            <c:idx val="3"/>
            <c:bubble3D val="0"/>
            <c:spPr>
              <a:solidFill>
                <a:srgbClr val="0000FF"/>
              </a:solidFill>
              <a:ln w="19050">
                <a:solidFill>
                  <a:schemeClr val="lt1"/>
                </a:solidFill>
              </a:ln>
              <a:effectLst/>
            </c:spPr>
            <c:extLst>
              <c:ext xmlns:c16="http://schemas.microsoft.com/office/drawing/2014/chart" uri="{C3380CC4-5D6E-409C-BE32-E72D297353CC}">
                <c16:uniqueId val="{00000007-6390-49D7-AA54-91F198C5D3C3}"/>
              </c:ext>
            </c:extLst>
          </c:dPt>
          <c:dPt>
            <c:idx val="4"/>
            <c:bubble3D val="0"/>
            <c:spPr>
              <a:solidFill>
                <a:srgbClr val="0000FF"/>
              </a:solidFill>
              <a:ln w="19050">
                <a:solidFill>
                  <a:schemeClr val="lt1"/>
                </a:solidFill>
              </a:ln>
              <a:effectLst/>
            </c:spPr>
            <c:extLst>
              <c:ext xmlns:c16="http://schemas.microsoft.com/office/drawing/2014/chart" uri="{C3380CC4-5D6E-409C-BE32-E72D297353CC}">
                <c16:uniqueId val="{00000009-6390-49D7-AA54-91F198C5D3C3}"/>
              </c:ext>
            </c:extLst>
          </c:dPt>
          <c:dPt>
            <c:idx val="5"/>
            <c:bubble3D val="0"/>
            <c:spPr>
              <a:solidFill>
                <a:srgbClr val="0000FF"/>
              </a:solidFill>
              <a:ln w="19050">
                <a:solidFill>
                  <a:schemeClr val="lt1"/>
                </a:solidFill>
              </a:ln>
              <a:effectLst/>
            </c:spPr>
            <c:extLst>
              <c:ext xmlns:c16="http://schemas.microsoft.com/office/drawing/2014/chart" uri="{C3380CC4-5D6E-409C-BE32-E72D297353CC}">
                <c16:uniqueId val="{0000000B-6390-49D7-AA54-91F198C5D3C3}"/>
              </c:ext>
            </c:extLst>
          </c:dPt>
          <c:dPt>
            <c:idx val="6"/>
            <c:bubble3D val="0"/>
            <c:spPr>
              <a:solidFill>
                <a:srgbClr val="0000FF"/>
              </a:solidFill>
              <a:ln w="19050">
                <a:solidFill>
                  <a:schemeClr val="lt1"/>
                </a:solidFill>
              </a:ln>
              <a:effectLst/>
            </c:spPr>
            <c:extLst>
              <c:ext xmlns:c16="http://schemas.microsoft.com/office/drawing/2014/chart" uri="{C3380CC4-5D6E-409C-BE32-E72D297353CC}">
                <c16:uniqueId val="{0000000D-6390-49D7-AA54-91F198C5D3C3}"/>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F-6390-49D7-AA54-91F198C5D3C3}"/>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6390-49D7-AA54-91F198C5D3C3}"/>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13-6390-49D7-AA54-91F198C5D3C3}"/>
              </c:ext>
            </c:extLst>
          </c:dPt>
          <c:dPt>
            <c:idx val="1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5-6390-49D7-AA54-91F198C5D3C3}"/>
              </c:ext>
            </c:extLst>
          </c:dPt>
          <c:dPt>
            <c:idx val="1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7-6390-49D7-AA54-91F198C5D3C3}"/>
              </c:ext>
            </c:extLst>
          </c:dPt>
          <c:dPt>
            <c:idx val="12"/>
            <c:bubble3D val="0"/>
            <c:spPr>
              <a:solidFill>
                <a:srgbClr val="7030A0"/>
              </a:solidFill>
              <a:ln w="19050">
                <a:solidFill>
                  <a:schemeClr val="lt1"/>
                </a:solidFill>
              </a:ln>
              <a:effectLst/>
            </c:spPr>
            <c:extLst>
              <c:ext xmlns:c16="http://schemas.microsoft.com/office/drawing/2014/chart" uri="{C3380CC4-5D6E-409C-BE32-E72D297353CC}">
                <c16:uniqueId val="{00000019-6390-49D7-AA54-91F198C5D3C3}"/>
              </c:ext>
            </c:extLst>
          </c:dPt>
          <c:dLbls>
            <c:dLbl>
              <c:idx val="1"/>
              <c:layout>
                <c:manualLayout>
                  <c:x val="1.7748197448696618E-2"/>
                  <c:y val="2.645503104733976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90-49D7-AA54-91F198C5D3C3}"/>
                </c:ext>
              </c:extLst>
            </c:dLbl>
            <c:dLbl>
              <c:idx val="2"/>
              <c:layout>
                <c:manualLayout>
                  <c:x val="1.4420410427066E-2"/>
                  <c:y val="2.64550310473397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90-49D7-AA54-91F198C5D3C3}"/>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E3b'!$T$37:$T$46</c:f>
              <c:strCache>
                <c:ptCount val="10"/>
                <c:pt idx="0">
                  <c:v>Colstrip</c:v>
                </c:pt>
                <c:pt idx="1">
                  <c:v>Libby Dam</c:v>
                </c:pt>
                <c:pt idx="2">
                  <c:v>Noxon Rapids Dam</c:v>
                </c:pt>
                <c:pt idx="3">
                  <c:v>Yellowtail Dam</c:v>
                </c:pt>
                <c:pt idx="4">
                  <c:v>Selis Ksanka Qlispe Dam</c:v>
                </c:pt>
                <c:pt idx="5">
                  <c:v>Fort Peck Dam</c:v>
                </c:pt>
                <c:pt idx="6">
                  <c:v>Hungry Horse Dam</c:v>
                </c:pt>
                <c:pt idx="7">
                  <c:v>Clearwater Wind I</c:v>
                </c:pt>
                <c:pt idx="8">
                  <c:v>Pryor Mountain Wind</c:v>
                </c:pt>
                <c:pt idx="9">
                  <c:v>NaturEner Rim Rock Energy (Wind)</c:v>
                </c:pt>
              </c:strCache>
            </c:strRef>
          </c:cat>
          <c:val>
            <c:numRef>
              <c:f>'Chart E3b'!$U$37:$U$46</c:f>
              <c:numCache>
                <c:formatCode>#,##0</c:formatCode>
                <c:ptCount val="10"/>
                <c:pt idx="0">
                  <c:v>10820444</c:v>
                </c:pt>
                <c:pt idx="1">
                  <c:v>1581208</c:v>
                </c:pt>
                <c:pt idx="2">
                  <c:v>1304311</c:v>
                </c:pt>
                <c:pt idx="3">
                  <c:v>845979</c:v>
                </c:pt>
                <c:pt idx="4">
                  <c:v>804794</c:v>
                </c:pt>
                <c:pt idx="5">
                  <c:v>701188</c:v>
                </c:pt>
                <c:pt idx="6">
                  <c:v>650165</c:v>
                </c:pt>
                <c:pt idx="7">
                  <c:v>1315806</c:v>
                </c:pt>
                <c:pt idx="8">
                  <c:v>723768</c:v>
                </c:pt>
                <c:pt idx="9">
                  <c:v>563641</c:v>
                </c:pt>
              </c:numCache>
            </c:numRef>
          </c:val>
          <c:extLst>
            <c:ext xmlns:c16="http://schemas.microsoft.com/office/drawing/2014/chart" uri="{C3380CC4-5D6E-409C-BE32-E72D297353CC}">
              <c16:uniqueId val="{0000001A-6390-49D7-AA54-91F198C5D3C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 E3b'!$U$71</c:f>
              <c:strCache>
                <c:ptCount val="1"/>
                <c:pt idx="0">
                  <c:v>MW</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13FB-4F0E-8330-E070A654654C}"/>
              </c:ext>
            </c:extLst>
          </c:dPt>
          <c:dPt>
            <c:idx val="1"/>
            <c:bubble3D val="0"/>
            <c:spPr>
              <a:solidFill>
                <a:srgbClr val="0000FF"/>
              </a:solidFill>
              <a:ln w="19050">
                <a:solidFill>
                  <a:schemeClr val="lt1"/>
                </a:solidFill>
              </a:ln>
              <a:effectLst/>
            </c:spPr>
            <c:extLst>
              <c:ext xmlns:c16="http://schemas.microsoft.com/office/drawing/2014/chart" uri="{C3380CC4-5D6E-409C-BE32-E72D297353CC}">
                <c16:uniqueId val="{00000003-13FB-4F0E-8330-E070A654654C}"/>
              </c:ext>
            </c:extLst>
          </c:dPt>
          <c:dPt>
            <c:idx val="2"/>
            <c:bubble3D val="0"/>
            <c:spPr>
              <a:solidFill>
                <a:srgbClr val="0000FF"/>
              </a:solidFill>
              <a:ln w="19050">
                <a:solidFill>
                  <a:schemeClr val="lt1"/>
                </a:solidFill>
              </a:ln>
              <a:effectLst/>
            </c:spPr>
            <c:extLst>
              <c:ext xmlns:c16="http://schemas.microsoft.com/office/drawing/2014/chart" uri="{C3380CC4-5D6E-409C-BE32-E72D297353CC}">
                <c16:uniqueId val="{00000005-13FB-4F0E-8330-E070A654654C}"/>
              </c:ext>
            </c:extLst>
          </c:dPt>
          <c:dPt>
            <c:idx val="3"/>
            <c:bubble3D val="0"/>
            <c:spPr>
              <a:solidFill>
                <a:srgbClr val="0000FF"/>
              </a:solidFill>
              <a:ln w="19050">
                <a:solidFill>
                  <a:schemeClr val="lt1"/>
                </a:solidFill>
              </a:ln>
              <a:effectLst/>
            </c:spPr>
            <c:extLst>
              <c:ext xmlns:c16="http://schemas.microsoft.com/office/drawing/2014/chart" uri="{C3380CC4-5D6E-409C-BE32-E72D297353CC}">
                <c16:uniqueId val="{00000007-13FB-4F0E-8330-E070A654654C}"/>
              </c:ext>
            </c:extLst>
          </c:dPt>
          <c:dPt>
            <c:idx val="4"/>
            <c:bubble3D val="0"/>
            <c:spPr>
              <a:solidFill>
                <a:srgbClr val="0000FF"/>
              </a:solidFill>
              <a:ln w="19050">
                <a:solidFill>
                  <a:schemeClr val="lt1"/>
                </a:solidFill>
              </a:ln>
              <a:effectLst/>
            </c:spPr>
            <c:extLst>
              <c:ext xmlns:c16="http://schemas.microsoft.com/office/drawing/2014/chart" uri="{C3380CC4-5D6E-409C-BE32-E72D297353CC}">
                <c16:uniqueId val="{00000009-13FB-4F0E-8330-E070A654654C}"/>
              </c:ext>
            </c:extLst>
          </c:dPt>
          <c:dPt>
            <c:idx val="5"/>
            <c:bubble3D val="0"/>
            <c:spPr>
              <a:solidFill>
                <a:srgbClr val="0000FF"/>
              </a:solidFill>
              <a:ln w="19050">
                <a:solidFill>
                  <a:schemeClr val="lt1"/>
                </a:solidFill>
              </a:ln>
              <a:effectLst/>
            </c:spPr>
            <c:extLst>
              <c:ext xmlns:c16="http://schemas.microsoft.com/office/drawing/2014/chart" uri="{C3380CC4-5D6E-409C-BE32-E72D297353CC}">
                <c16:uniqueId val="{0000000B-13FB-4F0E-8330-E070A654654C}"/>
              </c:ext>
            </c:extLst>
          </c:dPt>
          <c:dPt>
            <c:idx val="6"/>
            <c:bubble3D val="0"/>
            <c:spPr>
              <a:solidFill>
                <a:srgbClr val="0000FF"/>
              </a:solidFill>
              <a:ln w="19050">
                <a:solidFill>
                  <a:schemeClr val="lt1"/>
                </a:solidFill>
              </a:ln>
              <a:effectLst/>
            </c:spPr>
            <c:extLst>
              <c:ext xmlns:c16="http://schemas.microsoft.com/office/drawing/2014/chart" uri="{C3380CC4-5D6E-409C-BE32-E72D297353CC}">
                <c16:uniqueId val="{0000000D-13FB-4F0E-8330-E070A654654C}"/>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F-13FB-4F0E-8330-E070A654654C}"/>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13FB-4F0E-8330-E070A654654C}"/>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13-13FB-4F0E-8330-E070A654654C}"/>
              </c:ext>
            </c:extLst>
          </c:dPt>
          <c:dPt>
            <c:idx val="1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5-13FB-4F0E-8330-E070A654654C}"/>
              </c:ext>
            </c:extLst>
          </c:dPt>
          <c:dPt>
            <c:idx val="1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7-13FB-4F0E-8330-E070A654654C}"/>
              </c:ext>
            </c:extLst>
          </c:dPt>
          <c:dPt>
            <c:idx val="12"/>
            <c:bubble3D val="0"/>
            <c:spPr>
              <a:solidFill>
                <a:srgbClr val="7030A0"/>
              </a:solidFill>
              <a:ln w="19050">
                <a:solidFill>
                  <a:schemeClr val="lt1"/>
                </a:solidFill>
              </a:ln>
              <a:effectLst/>
            </c:spPr>
            <c:extLst>
              <c:ext xmlns:c16="http://schemas.microsoft.com/office/drawing/2014/chart" uri="{C3380CC4-5D6E-409C-BE32-E72D297353CC}">
                <c16:uniqueId val="{00000019-13FB-4F0E-8330-E070A654654C}"/>
              </c:ext>
            </c:extLst>
          </c:dPt>
          <c:dLbls>
            <c:dLbl>
              <c:idx val="1"/>
              <c:layout>
                <c:manualLayout>
                  <c:x val="1.7748197448696618E-2"/>
                  <c:y val="2.645503104733976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FB-4F0E-8330-E070A654654C}"/>
                </c:ext>
              </c:extLst>
            </c:dLbl>
            <c:dLbl>
              <c:idx val="2"/>
              <c:layout>
                <c:manualLayout>
                  <c:x val="1.4420410427066E-2"/>
                  <c:y val="2.64550310473397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FB-4F0E-8330-E070A654654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E3b'!$T$37:$T$46</c:f>
              <c:strCache>
                <c:ptCount val="10"/>
                <c:pt idx="0">
                  <c:v>Colstrip</c:v>
                </c:pt>
                <c:pt idx="1">
                  <c:v>Libby Dam</c:v>
                </c:pt>
                <c:pt idx="2">
                  <c:v>Noxon Rapids Dam</c:v>
                </c:pt>
                <c:pt idx="3">
                  <c:v>Yellowtail Dam</c:v>
                </c:pt>
                <c:pt idx="4">
                  <c:v>Selis Ksanka Qlispe Dam</c:v>
                </c:pt>
                <c:pt idx="5">
                  <c:v>Fort Peck Dam</c:v>
                </c:pt>
                <c:pt idx="6">
                  <c:v>Hungry Horse Dam</c:v>
                </c:pt>
                <c:pt idx="7">
                  <c:v>Clearwater Wind I</c:v>
                </c:pt>
                <c:pt idx="8">
                  <c:v>Pryor Mountain Wind</c:v>
                </c:pt>
                <c:pt idx="9">
                  <c:v>NaturEner Rim Rock Energy (Wind)</c:v>
                </c:pt>
              </c:strCache>
            </c:strRef>
          </c:cat>
          <c:val>
            <c:numRef>
              <c:f>'Chart E3b'!$U$72:$U$81</c:f>
              <c:numCache>
                <c:formatCode>#,##0</c:formatCode>
                <c:ptCount val="10"/>
                <c:pt idx="0">
                  <c:v>1480</c:v>
                </c:pt>
                <c:pt idx="1">
                  <c:v>580.70000000000005</c:v>
                </c:pt>
                <c:pt idx="2">
                  <c:v>525</c:v>
                </c:pt>
                <c:pt idx="3">
                  <c:v>428</c:v>
                </c:pt>
                <c:pt idx="4">
                  <c:v>287.5</c:v>
                </c:pt>
                <c:pt idx="5">
                  <c:v>227.8</c:v>
                </c:pt>
                <c:pt idx="6">
                  <c:v>218</c:v>
                </c:pt>
                <c:pt idx="7">
                  <c:v>365.5</c:v>
                </c:pt>
                <c:pt idx="8">
                  <c:v>239.8</c:v>
                </c:pt>
                <c:pt idx="9">
                  <c:v>184.6</c:v>
                </c:pt>
              </c:numCache>
            </c:numRef>
          </c:val>
          <c:extLst>
            <c:ext xmlns:c16="http://schemas.microsoft.com/office/drawing/2014/chart" uri="{C3380CC4-5D6E-409C-BE32-E72D297353CC}">
              <c16:uniqueId val="{0000001A-13FB-4F0E-8330-E070A654654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1990-2023</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2">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E5'!$D$36:$D$69</c:f>
              <c:numCache>
                <c:formatCode>#,##0</c:formatCode>
                <c:ptCount val="34"/>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pt idx="32">
                  <c:v>11651</c:v>
                </c:pt>
                <c:pt idx="33">
                  <c:v>11553</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E5'!$B$36:$B$69</c:f>
              <c:numCache>
                <c:formatCode>#,##0</c:formatCode>
                <c:ptCount val="34"/>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pt idx="32">
                  <c:v>9886</c:v>
                </c:pt>
                <c:pt idx="33">
                  <c:v>8792</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E5'!$F$36:$F$69</c:f>
              <c:numCache>
                <c:formatCode>0</c:formatCode>
                <c:ptCount val="34"/>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pt idx="32" formatCode="#,##0">
                  <c:v>465</c:v>
                </c:pt>
                <c:pt idx="33" formatCode="#,##0">
                  <c:v>491</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E5'!$H$36:$H$69</c:f>
              <c:numCache>
                <c:formatCode>0</c:formatCode>
                <c:ptCount val="34"/>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pt idx="32" formatCode="#,##0">
                  <c:v>729</c:v>
                </c:pt>
                <c:pt idx="33" formatCode="#,##0">
                  <c:v>1002</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E5'!$J$36:$J$69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pt idx="32">
                  <c:v>4022</c:v>
                </c:pt>
                <c:pt idx="33">
                  <c:v>4557</c:v>
                </c:pt>
              </c:numCache>
            </c:numRef>
          </c:val>
          <c:smooth val="0"/>
          <c:extLst>
            <c:ext xmlns:c16="http://schemas.microsoft.com/office/drawing/2014/chart" uri="{C3380CC4-5D6E-409C-BE32-E72D297353CC}">
              <c16:uniqueId val="{00000005-1AA9-479F-91AF-4793CE5DAEC3}"/>
            </c:ext>
          </c:extLst>
        </c:ser>
        <c:ser>
          <c:idx val="5"/>
          <c:order val="5"/>
          <c:tx>
            <c:v>Other</c:v>
          </c:tx>
          <c:spPr>
            <a:ln>
              <a:solidFill>
                <a:schemeClr val="bg1">
                  <a:lumMod val="65000"/>
                </a:schemeClr>
              </a:solidFill>
            </a:ln>
          </c:spPr>
          <c:marker>
            <c:symbol val="none"/>
          </c:marke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E5'!$N$36:$N$69</c:f>
              <c:numCache>
                <c:formatCode>General</c:formatCode>
                <c:ptCount val="34"/>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pt idx="32" formatCode="#,##0">
                  <c:v>286</c:v>
                </c:pt>
                <c:pt idx="33" formatCode="#,##0">
                  <c:v>355</c:v>
                </c:pt>
              </c:numCache>
            </c:numRef>
          </c:val>
          <c:smooth val="0"/>
          <c:extLst>
            <c:ext xmlns:c16="http://schemas.microsoft.com/office/drawing/2014/chart" uri="{C3380CC4-5D6E-409C-BE32-E72D297353CC}">
              <c16:uniqueId val="{00000001-0694-4C43-9705-C9CFE28C0561}"/>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1990-2023</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E5'!$D$36:$D$69</c:f>
              <c:numCache>
                <c:formatCode>#,##0</c:formatCode>
                <c:ptCount val="34"/>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pt idx="32">
                  <c:v>11651</c:v>
                </c:pt>
                <c:pt idx="33">
                  <c:v>11553</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E5'!$B$36:$B$69</c:f>
              <c:numCache>
                <c:formatCode>#,##0</c:formatCode>
                <c:ptCount val="34"/>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pt idx="32">
                  <c:v>9886</c:v>
                </c:pt>
                <c:pt idx="33">
                  <c:v>8792</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E5'!$F$36:$F$69</c:f>
              <c:numCache>
                <c:formatCode>0</c:formatCode>
                <c:ptCount val="34"/>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pt idx="32" formatCode="#,##0">
                  <c:v>465</c:v>
                </c:pt>
                <c:pt idx="33" formatCode="#,##0">
                  <c:v>491</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E5'!$H$36:$H$69</c:f>
              <c:numCache>
                <c:formatCode>0</c:formatCode>
                <c:ptCount val="34"/>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pt idx="32" formatCode="#,##0">
                  <c:v>729</c:v>
                </c:pt>
                <c:pt idx="33" formatCode="#,##0">
                  <c:v>1002</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E5'!$J$36:$J$69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pt idx="32">
                  <c:v>4022</c:v>
                </c:pt>
                <c:pt idx="33">
                  <c:v>4557</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E5'!$L$36:$L$69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pt idx="29">
                  <c:v>29</c:v>
                </c:pt>
                <c:pt idx="30">
                  <c:v>33</c:v>
                </c:pt>
                <c:pt idx="31">
                  <c:v>33</c:v>
                </c:pt>
                <c:pt idx="32">
                  <c:v>32</c:v>
                </c:pt>
                <c:pt idx="33">
                  <c:v>240</c:v>
                </c:pt>
              </c:numCache>
            </c:numRef>
          </c:val>
          <c:extLst>
            <c:ext xmlns:c16="http://schemas.microsoft.com/office/drawing/2014/chart" uri="{C3380CC4-5D6E-409C-BE32-E72D297353CC}">
              <c16:uniqueId val="{00000005-C326-4B90-9EEB-C023B6606898}"/>
            </c:ext>
          </c:extLst>
        </c:ser>
        <c:ser>
          <c:idx val="6"/>
          <c:order val="6"/>
          <c:tx>
            <c:v>Other</c:v>
          </c:tx>
          <c:spPr>
            <a:solidFill>
              <a:schemeClr val="bg1">
                <a:lumMod val="65000"/>
              </a:schemeClr>
            </a:solidFill>
            <a:ln w="25400">
              <a:noFill/>
            </a:ln>
            <a:effectLst/>
          </c:spPr>
          <c:cat>
            <c:numRef>
              <c:f>'Table E5'!$A$36:$A$69</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E5'!$N$36:$N$69</c:f>
              <c:numCache>
                <c:formatCode>General</c:formatCode>
                <c:ptCount val="34"/>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pt idx="32" formatCode="#,##0">
                  <c:v>286</c:v>
                </c:pt>
                <c:pt idx="33" formatCode="#,##0">
                  <c:v>355</c:v>
                </c:pt>
              </c:numCache>
            </c:numRef>
          </c:val>
          <c:extLst>
            <c:ext xmlns:c16="http://schemas.microsoft.com/office/drawing/2014/chart" uri="{C3380CC4-5D6E-409C-BE32-E72D297353CC}">
              <c16:uniqueId val="{00000000-5F97-47F2-8A7E-C5BA4C97BC6D}"/>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png"/><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21</xdr:col>
      <xdr:colOff>19048</xdr:colOff>
      <xdr:row>2</xdr:row>
      <xdr:rowOff>190499</xdr:rowOff>
    </xdr:from>
    <xdr:to>
      <xdr:col>42</xdr:col>
      <xdr:colOff>419100</xdr:colOff>
      <xdr:row>38</xdr:row>
      <xdr:rowOff>161925</xdr:rowOff>
    </xdr:to>
    <xdr:graphicFrame macro="">
      <xdr:nvGraphicFramePr>
        <xdr:cNvPr id="7" name="Chart 6">
          <a:extLst>
            <a:ext uri="{FF2B5EF4-FFF2-40B4-BE49-F238E27FC236}">
              <a16:creationId xmlns:a16="http://schemas.microsoft.com/office/drawing/2014/main" id="{F1C9BC18-38E3-4F71-BBF3-C426CD5E0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19</xdr:col>
      <xdr:colOff>421697</xdr:colOff>
      <xdr:row>39</xdr:row>
      <xdr:rowOff>60953</xdr:rowOff>
    </xdr:to>
    <xdr:graphicFrame macro="">
      <xdr:nvGraphicFramePr>
        <xdr:cNvPr id="6" name="Chart 5">
          <a:extLst>
            <a:ext uri="{FF2B5EF4-FFF2-40B4-BE49-F238E27FC236}">
              <a16:creationId xmlns:a16="http://schemas.microsoft.com/office/drawing/2014/main" id="{AE791FD5-9222-4850-AFAA-F5DCABA5D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74</xdr:row>
      <xdr:rowOff>34365</xdr:rowOff>
    </xdr:from>
    <xdr:to>
      <xdr:col>9</xdr:col>
      <xdr:colOff>383802</xdr:colOff>
      <xdr:row>104</xdr:row>
      <xdr:rowOff>70784</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447674</xdr:colOff>
      <xdr:row>6</xdr:row>
      <xdr:rowOff>171449</xdr:rowOff>
    </xdr:from>
    <xdr:to>
      <xdr:col>20</xdr:col>
      <xdr:colOff>498231</xdr:colOff>
      <xdr:row>30</xdr:row>
      <xdr:rowOff>161925</xdr:rowOff>
    </xdr:to>
    <xdr:graphicFrame macro="">
      <xdr:nvGraphicFramePr>
        <xdr:cNvPr id="3" name="Chart 2">
          <a:extLst>
            <a:ext uri="{FF2B5EF4-FFF2-40B4-BE49-F238E27FC236}">
              <a16:creationId xmlns:a16="http://schemas.microsoft.com/office/drawing/2014/main" id="{4494F938-3F5A-445E-A30C-615ACDBB0B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250521</xdr:colOff>
      <xdr:row>33</xdr:row>
      <xdr:rowOff>125259</xdr:rowOff>
    </xdr:from>
    <xdr:to>
      <xdr:col>20</xdr:col>
      <xdr:colOff>94676</xdr:colOff>
      <xdr:row>57</xdr:row>
      <xdr:rowOff>118345</xdr:rowOff>
    </xdr:to>
    <xdr:graphicFrame macro="">
      <xdr:nvGraphicFramePr>
        <xdr:cNvPr id="4" name="Chart 3">
          <a:extLst>
            <a:ext uri="{FF2B5EF4-FFF2-40B4-BE49-F238E27FC236}">
              <a16:creationId xmlns:a16="http://schemas.microsoft.com/office/drawing/2014/main" id="{B2B28F4C-45C2-4575-AFE8-6AA70BE6F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0.73853</cdr:x>
      <cdr:y>0.17863</cdr:y>
    </cdr:from>
    <cdr:to>
      <cdr:x>0.97098</cdr:x>
      <cdr:y>0.2517</cdr:y>
    </cdr:to>
    <cdr:sp macro="" textlink="">
      <cdr:nvSpPr>
        <cdr:cNvPr id="2" name="TextBox 1">
          <a:extLst xmlns:a="http://schemas.openxmlformats.org/drawingml/2006/main">
            <a:ext uri="{FF2B5EF4-FFF2-40B4-BE49-F238E27FC236}">
              <a16:creationId xmlns:a16="http://schemas.microsoft.com/office/drawing/2014/main" id="{534CC98C-A17C-B90C-DE27-9ACDD499C89B}"/>
            </a:ext>
          </a:extLst>
        </cdr:cNvPr>
        <cdr:cNvSpPr txBox="1"/>
      </cdr:nvSpPr>
      <cdr:spPr>
        <a:xfrm xmlns:a="http://schemas.openxmlformats.org/drawingml/2006/main">
          <a:off x="6512560" y="782320"/>
          <a:ext cx="2049780" cy="3200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1 and 2 shut down</a:t>
          </a:r>
        </a:p>
      </cdr:txBody>
    </cdr:sp>
  </cdr:relSizeAnchor>
  <cdr:relSizeAnchor xmlns:cdr="http://schemas.openxmlformats.org/drawingml/2006/chartDrawing">
    <cdr:from>
      <cdr:x>0.76186</cdr:x>
      <cdr:y>0.23749</cdr:y>
    </cdr:from>
    <cdr:to>
      <cdr:x>0.79693</cdr:x>
      <cdr:y>0.2691</cdr:y>
    </cdr:to>
    <cdr:cxnSp macro="">
      <cdr:nvCxnSpPr>
        <cdr:cNvPr id="3" name="Straight Arrow Connector 2">
          <a:extLst xmlns:a="http://schemas.openxmlformats.org/drawingml/2006/main">
            <a:ext uri="{FF2B5EF4-FFF2-40B4-BE49-F238E27FC236}">
              <a16:creationId xmlns:a16="http://schemas.microsoft.com/office/drawing/2014/main" id="{66CD637E-971A-3B36-ED7A-874676B24C70}"/>
            </a:ext>
          </a:extLst>
        </cdr:cNvPr>
        <cdr:cNvCxnSpPr/>
      </cdr:nvCxnSpPr>
      <cdr:spPr>
        <a:xfrm xmlns:a="http://schemas.openxmlformats.org/drawingml/2006/main" flipH="1">
          <a:off x="6718300" y="1040131"/>
          <a:ext cx="309246" cy="13842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0.76528</cdr:x>
      <cdr:y>0.22931</cdr:y>
    </cdr:from>
    <cdr:to>
      <cdr:x>1</cdr:x>
      <cdr:y>0.30226</cdr:y>
    </cdr:to>
    <cdr:sp macro="" textlink="">
      <cdr:nvSpPr>
        <cdr:cNvPr id="2" name="TextBox 1">
          <a:extLst xmlns:a="http://schemas.openxmlformats.org/drawingml/2006/main">
            <a:ext uri="{FF2B5EF4-FFF2-40B4-BE49-F238E27FC236}">
              <a16:creationId xmlns:a16="http://schemas.microsoft.com/office/drawing/2014/main" id="{02EF1C4D-E9B2-49E9-8994-7E32A0DCA663}"/>
            </a:ext>
          </a:extLst>
        </cdr:cNvPr>
        <cdr:cNvSpPr txBox="1"/>
      </cdr:nvSpPr>
      <cdr:spPr>
        <a:xfrm xmlns:a="http://schemas.openxmlformats.org/drawingml/2006/main">
          <a:off x="6654783" y="1032437"/>
          <a:ext cx="2041098" cy="3284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1 and 2 shut down</a:t>
          </a:r>
        </a:p>
      </cdr:txBody>
    </cdr:sp>
  </cdr:relSizeAnchor>
  <cdr:relSizeAnchor xmlns:cdr="http://schemas.openxmlformats.org/drawingml/2006/chartDrawing">
    <cdr:from>
      <cdr:x>0.92669</cdr:x>
      <cdr:y>0.2898</cdr:y>
    </cdr:from>
    <cdr:to>
      <cdr:x>0.93269</cdr:x>
      <cdr:y>0.44529</cdr:y>
    </cdr:to>
    <cdr:cxnSp macro="">
      <cdr:nvCxnSpPr>
        <cdr:cNvPr id="4" name="Straight Arrow Connector 3">
          <a:extLst xmlns:a="http://schemas.openxmlformats.org/drawingml/2006/main">
            <a:ext uri="{FF2B5EF4-FFF2-40B4-BE49-F238E27FC236}">
              <a16:creationId xmlns:a16="http://schemas.microsoft.com/office/drawing/2014/main" id="{E80CA434-93FA-5908-6D2F-EFDF10617D13}"/>
            </a:ext>
          </a:extLst>
        </cdr:cNvPr>
        <cdr:cNvCxnSpPr/>
      </cdr:nvCxnSpPr>
      <cdr:spPr>
        <a:xfrm xmlns:a="http://schemas.openxmlformats.org/drawingml/2006/main">
          <a:off x="8058410" y="1304796"/>
          <a:ext cx="52190" cy="7001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2</xdr:col>
      <xdr:colOff>0</xdr:colOff>
      <xdr:row>3</xdr:row>
      <xdr:rowOff>0</xdr:rowOff>
    </xdr:from>
    <xdr:to>
      <xdr:col>22</xdr:col>
      <xdr:colOff>123825</xdr:colOff>
      <xdr:row>41</xdr:row>
      <xdr:rowOff>106680</xdr:rowOff>
    </xdr:to>
    <xdr:graphicFrame macro="">
      <xdr:nvGraphicFramePr>
        <xdr:cNvPr id="2" name="Chart 1">
          <a:extLst>
            <a:ext uri="{FF2B5EF4-FFF2-40B4-BE49-F238E27FC236}">
              <a16:creationId xmlns:a16="http://schemas.microsoft.com/office/drawing/2014/main" id="{3FA9FE96-C600-4A65-8B29-82B00CEB8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69447</xdr:colOff>
      <xdr:row>3</xdr:row>
      <xdr:rowOff>9646</xdr:rowOff>
    </xdr:from>
    <xdr:to>
      <xdr:col>48</xdr:col>
      <xdr:colOff>572343</xdr:colOff>
      <xdr:row>41</xdr:row>
      <xdr:rowOff>142996</xdr:rowOff>
    </xdr:to>
    <xdr:graphicFrame macro="">
      <xdr:nvGraphicFramePr>
        <xdr:cNvPr id="3" name="Chart 2">
          <a:extLst>
            <a:ext uri="{FF2B5EF4-FFF2-40B4-BE49-F238E27FC236}">
              <a16:creationId xmlns:a16="http://schemas.microsoft.com/office/drawing/2014/main" id="{C738A09D-EAC4-4F50-960F-C06E5E7CA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417193</xdr:colOff>
      <xdr:row>1</xdr:row>
      <xdr:rowOff>139065</xdr:rowOff>
    </xdr:from>
    <xdr:to>
      <xdr:col>36</xdr:col>
      <xdr:colOff>379094</xdr:colOff>
      <xdr:row>40</xdr:row>
      <xdr:rowOff>47626</xdr:rowOff>
    </xdr:to>
    <xdr:graphicFrame macro="">
      <xdr:nvGraphicFramePr>
        <xdr:cNvPr id="4" name="Chart 3">
          <a:extLst>
            <a:ext uri="{FF2B5EF4-FFF2-40B4-BE49-F238E27FC236}">
              <a16:creationId xmlns:a16="http://schemas.microsoft.com/office/drawing/2014/main" id="{AE101010-DCD1-4364-8F6F-2124E1C0BE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2</xdr:row>
      <xdr:rowOff>171450</xdr:rowOff>
    </xdr:from>
    <xdr:to>
      <xdr:col>25</xdr:col>
      <xdr:colOff>523875</xdr:colOff>
      <xdr:row>46</xdr:row>
      <xdr:rowOff>152400</xdr:rowOff>
    </xdr:to>
    <xdr:graphicFrame macro="">
      <xdr:nvGraphicFramePr>
        <xdr:cNvPr id="3" name="Chart 2">
          <a:extLst>
            <a:ext uri="{FF2B5EF4-FFF2-40B4-BE49-F238E27FC236}">
              <a16:creationId xmlns:a16="http://schemas.microsoft.com/office/drawing/2014/main" id="{9B7ABB85-4607-4114-8B32-F4D6E5182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0.5084</cdr:x>
      <cdr:y>0.6092</cdr:y>
    </cdr:from>
    <cdr:to>
      <cdr:x>0.66244</cdr:x>
      <cdr:y>0.71076</cdr:y>
    </cdr:to>
    <cdr:sp macro="" textlink="">
      <cdr:nvSpPr>
        <cdr:cNvPr id="2" name="TextBox 1">
          <a:extLst xmlns:a="http://schemas.openxmlformats.org/drawingml/2006/main">
            <a:ext uri="{FF2B5EF4-FFF2-40B4-BE49-F238E27FC236}">
              <a16:creationId xmlns:a16="http://schemas.microsoft.com/office/drawing/2014/main" id="{94EE3B5B-8E4B-4E4C-999E-E04F500DA528}"/>
            </a:ext>
          </a:extLst>
        </cdr:cNvPr>
        <cdr:cNvSpPr txBox="1"/>
      </cdr:nvSpPr>
      <cdr:spPr>
        <a:xfrm xmlns:a="http://schemas.openxmlformats.org/drawingml/2006/main">
          <a:off x="7780889" y="4841689"/>
          <a:ext cx="2357547" cy="8071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PPL-Montana</a:t>
          </a:r>
          <a:r>
            <a:rPr lang="en-US" sz="1100" baseline="0"/>
            <a:t> sells dams to NWE and coal to Talen..SKQ (Kerr) Dam goes to Energy Keepers (2015)</a:t>
          </a:r>
          <a:endParaRPr lang="en-US" sz="1100"/>
        </a:p>
      </cdr:txBody>
    </cdr:sp>
  </cdr:relSizeAnchor>
  <cdr:relSizeAnchor xmlns:cdr="http://schemas.openxmlformats.org/drawingml/2006/chartDrawing">
    <cdr:from>
      <cdr:x>0.64196</cdr:x>
      <cdr:y>0.57335</cdr:y>
    </cdr:from>
    <cdr:to>
      <cdr:x>0.67526</cdr:x>
      <cdr:y>0.61585</cdr:y>
    </cdr:to>
    <cdr:cxnSp macro="">
      <cdr:nvCxnSpPr>
        <cdr:cNvPr id="3" name="Straight Arrow Connector 2">
          <a:extLst xmlns:a="http://schemas.openxmlformats.org/drawingml/2006/main">
            <a:ext uri="{FF2B5EF4-FFF2-40B4-BE49-F238E27FC236}">
              <a16:creationId xmlns:a16="http://schemas.microsoft.com/office/drawing/2014/main" id="{2728B513-4081-479C-851A-E613E0FB7299}"/>
            </a:ext>
          </a:extLst>
        </cdr:cNvPr>
        <cdr:cNvCxnSpPr/>
      </cdr:nvCxnSpPr>
      <cdr:spPr>
        <a:xfrm xmlns:a="http://schemas.openxmlformats.org/drawingml/2006/main" flipV="1">
          <a:off x="9825049" y="4556760"/>
          <a:ext cx="509576" cy="33777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0.10204</cdr:x>
      <cdr:y>0.23238</cdr:y>
    </cdr:from>
    <cdr:to>
      <cdr:x>0.27787</cdr:x>
      <cdr:y>0.32736</cdr:y>
    </cdr:to>
    <cdr:sp macro="" textlink="">
      <cdr:nvSpPr>
        <cdr:cNvPr id="6" name="Right Brace 5">
          <a:extLst xmlns:a="http://schemas.openxmlformats.org/drawingml/2006/main">
            <a:ext uri="{FF2B5EF4-FFF2-40B4-BE49-F238E27FC236}">
              <a16:creationId xmlns:a16="http://schemas.microsoft.com/office/drawing/2014/main" id="{38B34997-0C3F-44A7-8A24-71AE4F253599}"/>
            </a:ext>
          </a:extLst>
        </cdr:cNvPr>
        <cdr:cNvSpPr/>
      </cdr:nvSpPr>
      <cdr:spPr>
        <a:xfrm xmlns:a="http://schemas.openxmlformats.org/drawingml/2006/main" rot="16200000">
          <a:off x="2306870" y="577109"/>
          <a:ext cx="605777" cy="2415729"/>
        </a:xfrm>
        <a:prstGeom xmlns:a="http://schemas.openxmlformats.org/drawingml/2006/main" prst="rightBrace">
          <a:avLst>
            <a:gd name="adj1" fmla="val 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0.13802</cdr:x>
      <cdr:y>0.19235</cdr:y>
    </cdr:from>
    <cdr:to>
      <cdr:x>0.31423</cdr:x>
      <cdr:y>0.23775</cdr:y>
    </cdr:to>
    <cdr:sp macro="" textlink="">
      <cdr:nvSpPr>
        <cdr:cNvPr id="7" name="TextBox 6">
          <a:extLst xmlns:a="http://schemas.openxmlformats.org/drawingml/2006/main">
            <a:ext uri="{FF2B5EF4-FFF2-40B4-BE49-F238E27FC236}">
              <a16:creationId xmlns:a16="http://schemas.microsoft.com/office/drawing/2014/main" id="{F4FC3430-E2DE-4E97-96B9-E5D4976BAD95}"/>
            </a:ext>
          </a:extLst>
        </cdr:cNvPr>
        <cdr:cNvSpPr txBox="1"/>
      </cdr:nvSpPr>
      <cdr:spPr>
        <a:xfrm xmlns:a="http://schemas.openxmlformats.org/drawingml/2006/main">
          <a:off x="1706880" y="1226820"/>
          <a:ext cx="2179320" cy="289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Units Start Up</a:t>
          </a:r>
        </a:p>
      </cdr:txBody>
    </cdr:sp>
  </cdr:relSizeAnchor>
  <cdr:relSizeAnchor xmlns:cdr="http://schemas.openxmlformats.org/drawingml/2006/chartDrawing">
    <cdr:from>
      <cdr:x>0.27773</cdr:x>
      <cdr:y>0.64645</cdr:y>
    </cdr:from>
    <cdr:to>
      <cdr:x>0.42622</cdr:x>
      <cdr:y>0.7707</cdr:y>
    </cdr:to>
    <cdr:sp macro="" textlink="">
      <cdr:nvSpPr>
        <cdr:cNvPr id="9" name="TextBox 8">
          <a:extLst xmlns:a="http://schemas.openxmlformats.org/drawingml/2006/main">
            <a:ext uri="{FF2B5EF4-FFF2-40B4-BE49-F238E27FC236}">
              <a16:creationId xmlns:a16="http://schemas.microsoft.com/office/drawing/2014/main" id="{D71095C9-9FC8-4B28-8B0A-29A7E8967ED3}"/>
            </a:ext>
          </a:extLst>
        </cdr:cNvPr>
        <cdr:cNvSpPr txBox="1"/>
      </cdr:nvSpPr>
      <cdr:spPr>
        <a:xfrm xmlns:a="http://schemas.openxmlformats.org/drawingml/2006/main">
          <a:off x="4250548" y="5137759"/>
          <a:ext cx="2272605" cy="9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MPC sells generating assets to PPL-Montana in 2000 under 1997 Deregulation bill.  NWE gets CU4 in 2002 as part of sale</a:t>
          </a:r>
        </a:p>
      </cdr:txBody>
    </cdr:sp>
  </cdr:relSizeAnchor>
  <cdr:relSizeAnchor xmlns:cdr="http://schemas.openxmlformats.org/drawingml/2006/chartDrawing">
    <cdr:from>
      <cdr:x>0.65367</cdr:x>
      <cdr:y>0.5053</cdr:y>
    </cdr:from>
    <cdr:to>
      <cdr:x>0.82988</cdr:x>
      <cdr:y>0.5507</cdr:y>
    </cdr:to>
    <cdr:sp macro="" textlink="">
      <cdr:nvSpPr>
        <cdr:cNvPr id="8" name="TextBox 1">
          <a:extLst xmlns:a="http://schemas.openxmlformats.org/drawingml/2006/main">
            <a:ext uri="{FF2B5EF4-FFF2-40B4-BE49-F238E27FC236}">
              <a16:creationId xmlns:a16="http://schemas.microsoft.com/office/drawing/2014/main" id="{1456A592-34FE-41A5-A343-AF5AD0D0BB4C}"/>
            </a:ext>
          </a:extLst>
        </cdr:cNvPr>
        <cdr:cNvSpPr txBox="1"/>
      </cdr:nvSpPr>
      <cdr:spPr>
        <a:xfrm xmlns:a="http://schemas.openxmlformats.org/drawingml/2006/main">
          <a:off x="10004332" y="4015956"/>
          <a:ext cx="2696853" cy="3608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Units 1 and 2 close (2020)</a:t>
          </a:r>
        </a:p>
      </cdr:txBody>
    </cdr:sp>
  </cdr:relSizeAnchor>
  <cdr:relSizeAnchor xmlns:cdr="http://schemas.openxmlformats.org/drawingml/2006/chartDrawing">
    <cdr:from>
      <cdr:x>0.40277</cdr:x>
      <cdr:y>0.68546</cdr:y>
    </cdr:from>
    <cdr:to>
      <cdr:x>0.444</cdr:x>
      <cdr:y>0.69064</cdr:y>
    </cdr:to>
    <cdr:cxnSp macro="">
      <cdr:nvCxnSpPr>
        <cdr:cNvPr id="5" name="Straight Arrow Connector 4">
          <a:extLst xmlns:a="http://schemas.openxmlformats.org/drawingml/2006/main">
            <a:ext uri="{FF2B5EF4-FFF2-40B4-BE49-F238E27FC236}">
              <a16:creationId xmlns:a16="http://schemas.microsoft.com/office/drawing/2014/main" id="{0E63F9FF-4DF1-74FA-A42E-9457185AE0AD}"/>
            </a:ext>
          </a:extLst>
        </cdr:cNvPr>
        <cdr:cNvCxnSpPr/>
      </cdr:nvCxnSpPr>
      <cdr:spPr>
        <a:xfrm xmlns:a="http://schemas.openxmlformats.org/drawingml/2006/main">
          <a:off x="6164355" y="5447802"/>
          <a:ext cx="631016" cy="4116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0.43836</cdr:x>
      <cdr:y>0.28838</cdr:y>
    </cdr:from>
    <cdr:to>
      <cdr:x>0.61457</cdr:x>
      <cdr:y>0.33378</cdr:y>
    </cdr:to>
    <cdr:sp macro="" textlink="">
      <cdr:nvSpPr>
        <cdr:cNvPr id="4" name="TextBox 1">
          <a:extLst xmlns:a="http://schemas.openxmlformats.org/drawingml/2006/main">
            <a:ext uri="{FF2B5EF4-FFF2-40B4-BE49-F238E27FC236}">
              <a16:creationId xmlns:a16="http://schemas.microsoft.com/office/drawing/2014/main" id="{78EC6B2B-80EF-E90F-BB87-0E28BB649423}"/>
            </a:ext>
          </a:extLst>
        </cdr:cNvPr>
        <cdr:cNvSpPr txBox="1"/>
      </cdr:nvSpPr>
      <cdr:spPr>
        <a:xfrm xmlns:a="http://schemas.openxmlformats.org/drawingml/2006/main">
          <a:off x="6710647" y="2313956"/>
          <a:ext cx="2697525" cy="364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First wind farm is built in Montana (2005)</a:t>
          </a:r>
        </a:p>
      </cdr:txBody>
    </cdr:sp>
  </cdr:relSizeAnchor>
  <cdr:relSizeAnchor xmlns:cdr="http://schemas.openxmlformats.org/drawingml/2006/chartDrawing">
    <cdr:from>
      <cdr:x>0.53397</cdr:x>
      <cdr:y>0.33143</cdr:y>
    </cdr:from>
    <cdr:to>
      <cdr:x>0.54193</cdr:x>
      <cdr:y>0.36182</cdr:y>
    </cdr:to>
    <cdr:cxnSp macro="">
      <cdr:nvCxnSpPr>
        <cdr:cNvPr id="10" name="Straight Arrow Connector 9">
          <a:extLst xmlns:a="http://schemas.openxmlformats.org/drawingml/2006/main">
            <a:ext uri="{FF2B5EF4-FFF2-40B4-BE49-F238E27FC236}">
              <a16:creationId xmlns:a16="http://schemas.microsoft.com/office/drawing/2014/main" id="{AE6F95D5-8FB3-B7A6-86EC-14113403DC98}"/>
            </a:ext>
          </a:extLst>
        </cdr:cNvPr>
        <cdr:cNvCxnSpPr/>
      </cdr:nvCxnSpPr>
      <cdr:spPr>
        <a:xfrm xmlns:a="http://schemas.openxmlformats.org/drawingml/2006/main">
          <a:off x="8172296" y="2634093"/>
          <a:ext cx="121826" cy="24152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0.64061</cdr:x>
      <cdr:y>0.18257</cdr:y>
    </cdr:from>
    <cdr:to>
      <cdr:x>0.81684</cdr:x>
      <cdr:y>0.22794</cdr:y>
    </cdr:to>
    <cdr:sp macro="" textlink="">
      <cdr:nvSpPr>
        <cdr:cNvPr id="12" name="TextBox 1">
          <a:extLst xmlns:a="http://schemas.openxmlformats.org/drawingml/2006/main">
            <a:ext uri="{FF2B5EF4-FFF2-40B4-BE49-F238E27FC236}">
              <a16:creationId xmlns:a16="http://schemas.microsoft.com/office/drawing/2014/main" id="{97010011-8F1F-B658-8E8C-B4F1C9DC8DAD}"/>
            </a:ext>
          </a:extLst>
        </cdr:cNvPr>
        <cdr:cNvSpPr txBox="1"/>
      </cdr:nvSpPr>
      <cdr:spPr>
        <a:xfrm xmlns:a="http://schemas.openxmlformats.org/drawingml/2006/main">
          <a:off x="9804400" y="1450975"/>
          <a:ext cx="2697189" cy="360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Accelerated Wind and Solar development (2022)</a:t>
          </a:r>
        </a:p>
      </cdr:txBody>
    </cdr:sp>
  </cdr:relSizeAnchor>
  <cdr:relSizeAnchor xmlns:cdr="http://schemas.openxmlformats.org/drawingml/2006/chartDrawing">
    <cdr:from>
      <cdr:x>0.76957</cdr:x>
      <cdr:y>0.21023</cdr:y>
    </cdr:from>
    <cdr:to>
      <cdr:x>0.78706</cdr:x>
      <cdr:y>0.26626</cdr:y>
    </cdr:to>
    <cdr:cxnSp macro="">
      <cdr:nvCxnSpPr>
        <cdr:cNvPr id="15" name="Straight Arrow Connector 14">
          <a:extLst xmlns:a="http://schemas.openxmlformats.org/drawingml/2006/main">
            <a:ext uri="{FF2B5EF4-FFF2-40B4-BE49-F238E27FC236}">
              <a16:creationId xmlns:a16="http://schemas.microsoft.com/office/drawing/2014/main" id="{7C2EC08A-F21E-B571-B25C-00A608CDCD21}"/>
            </a:ext>
          </a:extLst>
        </cdr:cNvPr>
        <cdr:cNvCxnSpPr/>
      </cdr:nvCxnSpPr>
      <cdr:spPr>
        <a:xfrm xmlns:a="http://schemas.openxmlformats.org/drawingml/2006/main">
          <a:off x="11779618" y="1687659"/>
          <a:ext cx="267602" cy="44975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0.60451</cdr:x>
      <cdr:y>0.68048</cdr:y>
    </cdr:from>
    <cdr:to>
      <cdr:x>0.69206</cdr:x>
      <cdr:y>0.75192</cdr:y>
    </cdr:to>
    <cdr:cxnSp macro="">
      <cdr:nvCxnSpPr>
        <cdr:cNvPr id="13" name="Straight Arrow Connector 12">
          <a:extLst xmlns:a="http://schemas.openxmlformats.org/drawingml/2006/main">
            <a:ext uri="{FF2B5EF4-FFF2-40B4-BE49-F238E27FC236}">
              <a16:creationId xmlns:a16="http://schemas.microsoft.com/office/drawing/2014/main" id="{E548FA40-5D13-5ABB-303A-E8C0122183EF}"/>
            </a:ext>
          </a:extLst>
        </cdr:cNvPr>
        <cdr:cNvCxnSpPr/>
      </cdr:nvCxnSpPr>
      <cdr:spPr>
        <a:xfrm xmlns:a="http://schemas.openxmlformats.org/drawingml/2006/main">
          <a:off x="9251950" y="5408254"/>
          <a:ext cx="1339850" cy="56773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123826</xdr:rowOff>
    </xdr:from>
    <xdr:to>
      <xdr:col>18</xdr:col>
      <xdr:colOff>472440</xdr:colOff>
      <xdr:row>33</xdr:row>
      <xdr:rowOff>76200</xdr:rowOff>
    </xdr:to>
    <xdr:graphicFrame macro="">
      <xdr:nvGraphicFramePr>
        <xdr:cNvPr id="3" name="Chart 2">
          <a:extLst>
            <a:ext uri="{FF2B5EF4-FFF2-40B4-BE49-F238E27FC236}">
              <a16:creationId xmlns:a16="http://schemas.microsoft.com/office/drawing/2014/main" id="{0EFB3E25-0F3D-DBA0-8C54-4E309A2CAB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37</xdr:row>
      <xdr:rowOff>9525</xdr:rowOff>
    </xdr:from>
    <xdr:to>
      <xdr:col>18</xdr:col>
      <xdr:colOff>481965</xdr:colOff>
      <xdr:row>68</xdr:row>
      <xdr:rowOff>161924</xdr:rowOff>
    </xdr:to>
    <xdr:graphicFrame macro="">
      <xdr:nvGraphicFramePr>
        <xdr:cNvPr id="2" name="Chart 1">
          <a:extLst>
            <a:ext uri="{FF2B5EF4-FFF2-40B4-BE49-F238E27FC236}">
              <a16:creationId xmlns:a16="http://schemas.microsoft.com/office/drawing/2014/main" id="{C840A881-B174-491D-BBBD-D74D8EF0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71</xdr:row>
      <xdr:rowOff>152400</xdr:rowOff>
    </xdr:from>
    <xdr:to>
      <xdr:col>18</xdr:col>
      <xdr:colOff>478155</xdr:colOff>
      <xdr:row>103</xdr:row>
      <xdr:rowOff>117230</xdr:rowOff>
    </xdr:to>
    <xdr:graphicFrame macro="">
      <xdr:nvGraphicFramePr>
        <xdr:cNvPr id="5" name="Chart 4">
          <a:extLst>
            <a:ext uri="{FF2B5EF4-FFF2-40B4-BE49-F238E27FC236}">
              <a16:creationId xmlns:a16="http://schemas.microsoft.com/office/drawing/2014/main" id="{AA840583-AC86-4675-8B3E-018201EB9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59055</xdr:colOff>
      <xdr:row>40</xdr:row>
      <xdr:rowOff>169545</xdr:rowOff>
    </xdr:from>
    <xdr:to>
      <xdr:col>33</xdr:col>
      <xdr:colOff>329565</xdr:colOff>
      <xdr:row>73</xdr:row>
      <xdr:rowOff>310515</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34290</xdr:colOff>
      <xdr:row>4</xdr:row>
      <xdr:rowOff>20955</xdr:rowOff>
    </xdr:from>
    <xdr:to>
      <xdr:col>34</xdr:col>
      <xdr:colOff>577215</xdr:colOff>
      <xdr:row>39</xdr:row>
      <xdr:rowOff>180975</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38100</xdr:colOff>
      <xdr:row>75</xdr:row>
      <xdr:rowOff>28574</xdr:rowOff>
    </xdr:from>
    <xdr:to>
      <xdr:col>34</xdr:col>
      <xdr:colOff>428625</xdr:colOff>
      <xdr:row>98</xdr:row>
      <xdr:rowOff>28574</xdr:rowOff>
    </xdr:to>
    <xdr:graphicFrame macro="">
      <xdr:nvGraphicFramePr>
        <xdr:cNvPr id="2" name="Chart 1">
          <a:extLst>
            <a:ext uri="{FF2B5EF4-FFF2-40B4-BE49-F238E27FC236}">
              <a16:creationId xmlns:a16="http://schemas.microsoft.com/office/drawing/2014/main" id="{F28AD478-5252-4813-BD5E-55685E7EF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608188</xdr:colOff>
      <xdr:row>2</xdr:row>
      <xdr:rowOff>6350</xdr:rowOff>
    </xdr:from>
    <xdr:to>
      <xdr:col>26</xdr:col>
      <xdr:colOff>91934</xdr:colOff>
      <xdr:row>29</xdr:row>
      <xdr:rowOff>115806</xdr:rowOff>
    </xdr:to>
    <xdr:graphicFrame macro="">
      <xdr:nvGraphicFramePr>
        <xdr:cNvPr id="3" name="Chart 2">
          <a:extLst>
            <a:ext uri="{FF2B5EF4-FFF2-40B4-BE49-F238E27FC236}">
              <a16:creationId xmlns:a16="http://schemas.microsoft.com/office/drawing/2014/main" id="{B2109CF0-0BE4-41E4-8FEA-AC433B1A4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736823</xdr:colOff>
      <xdr:row>3</xdr:row>
      <xdr:rowOff>19821</xdr:rowOff>
    </xdr:from>
    <xdr:to>
      <xdr:col>21</xdr:col>
      <xdr:colOff>485516</xdr:colOff>
      <xdr:row>35</xdr:row>
      <xdr:rowOff>38871</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781566</xdr:colOff>
      <xdr:row>36</xdr:row>
      <xdr:rowOff>34882</xdr:rowOff>
    </xdr:from>
    <xdr:to>
      <xdr:col>21</xdr:col>
      <xdr:colOff>558371</xdr:colOff>
      <xdr:row>63</xdr:row>
      <xdr:rowOff>20596</xdr:rowOff>
    </xdr:to>
    <xdr:graphicFrame macro="">
      <xdr:nvGraphicFramePr>
        <xdr:cNvPr id="3" name="Chart 2">
          <a:extLst>
            <a:ext uri="{FF2B5EF4-FFF2-40B4-BE49-F238E27FC236}">
              <a16:creationId xmlns:a16="http://schemas.microsoft.com/office/drawing/2014/main" id="{FA82955B-C5F2-159A-4AD2-42B60BBF3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230272</xdr:colOff>
      <xdr:row>63</xdr:row>
      <xdr:rowOff>159222</xdr:rowOff>
    </xdr:from>
    <xdr:to>
      <xdr:col>24</xdr:col>
      <xdr:colOff>456169</xdr:colOff>
      <xdr:row>84</xdr:row>
      <xdr:rowOff>8753</xdr:rowOff>
    </xdr:to>
    <xdr:graphicFrame macro="">
      <xdr:nvGraphicFramePr>
        <xdr:cNvPr id="4" name="Chart 3">
          <a:extLst>
            <a:ext uri="{FF2B5EF4-FFF2-40B4-BE49-F238E27FC236}">
              <a16:creationId xmlns:a16="http://schemas.microsoft.com/office/drawing/2014/main" id="{9257FB33-1F27-4A54-6CD9-AB2DB1AA82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335280</xdr:colOff>
      <xdr:row>46</xdr:row>
      <xdr:rowOff>7620</xdr:rowOff>
    </xdr:from>
    <xdr:to>
      <xdr:col>16</xdr:col>
      <xdr:colOff>76200</xdr:colOff>
      <xdr:row>47</xdr:row>
      <xdr:rowOff>106680</xdr:rowOff>
    </xdr:to>
    <xdr:sp macro="" textlink="">
      <xdr:nvSpPr>
        <xdr:cNvPr id="5" name="TextBox 4">
          <a:extLst>
            <a:ext uri="{FF2B5EF4-FFF2-40B4-BE49-F238E27FC236}">
              <a16:creationId xmlns:a16="http://schemas.microsoft.com/office/drawing/2014/main" id="{6449D92E-F181-3A59-EADF-8621F260B7D0}"/>
            </a:ext>
          </a:extLst>
        </xdr:cNvPr>
        <xdr:cNvSpPr txBox="1"/>
      </xdr:nvSpPr>
      <xdr:spPr>
        <a:xfrm>
          <a:off x="9730740" y="7749540"/>
          <a:ext cx="161544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Deregulation in Montana</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0.23117</cdr:x>
      <cdr:y>0.43278</cdr:y>
    </cdr:from>
    <cdr:to>
      <cdr:x>0.29793</cdr:x>
      <cdr:y>0.49674</cdr:y>
    </cdr:to>
    <cdr:cxnSp macro="">
      <cdr:nvCxnSpPr>
        <cdr:cNvPr id="3" name="Straight Arrow Connector 2">
          <a:extLst xmlns:a="http://schemas.openxmlformats.org/drawingml/2006/main">
            <a:ext uri="{FF2B5EF4-FFF2-40B4-BE49-F238E27FC236}">
              <a16:creationId xmlns:a16="http://schemas.microsoft.com/office/drawing/2014/main" id="{3D4280E9-3EF4-D492-3024-30610FF887C2}"/>
            </a:ext>
          </a:extLst>
        </cdr:cNvPr>
        <cdr:cNvCxnSpPr/>
      </cdr:nvCxnSpPr>
      <cdr:spPr>
        <a:xfrm xmlns:a="http://schemas.openxmlformats.org/drawingml/2006/main">
          <a:off x="2110740" y="1959294"/>
          <a:ext cx="609600" cy="28956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5_Energy_Planning_Analysis\Energy-Statistics\Electricity_Nameplate_Capacity_1970-2022.xlsx" TargetMode="External"/><Relationship Id="rId1" Type="http://schemas.openxmlformats.org/officeDocument/2006/relationships/externalLinkPath" Target="file:///\\Entdeq0106\aem\EN\5_Energy_Planning_Analysis\Energy-Statistics\Electricity_Nameplate_Capacity_197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tdeq0106\aem\EN\5_Energy_Planning_Analysis\Energy-Statistics\2018\Electricity%20Notes\TableE1_E2_E3_2018_initial%20draft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apacity 1970-2022"/>
      <sheetName val="Table E5 Generation"/>
      <sheetName val=" Nameplate Capacity Chart 1970-"/>
      <sheetName val="Ownership Chart 1970-2020"/>
      <sheetName val="Generation Chart ideas1970-2018"/>
      <sheetName val="Capacity vs Generation"/>
      <sheetName val="Renewables"/>
      <sheetName val="Table E2"/>
      <sheetName val="Table E3"/>
      <sheetName val="Cap vs Gen by Fuel"/>
      <sheetName val="Newsletter_chart_capacity"/>
      <sheetName val="Newsletter_chart_generation"/>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cell r="BA1">
            <v>2021</v>
          </cell>
          <cell r="BB1">
            <v>2022</v>
          </cell>
          <cell r="BC1">
            <v>2023</v>
          </cell>
          <cell r="BD1">
            <v>2024</v>
          </cell>
        </row>
        <row r="29">
          <cell r="B29">
            <v>2329.6999999999998</v>
          </cell>
          <cell r="C29">
            <v>2329.6999999999998</v>
          </cell>
          <cell r="D29">
            <v>2329.6999999999998</v>
          </cell>
          <cell r="E29">
            <v>2329.6999999999998</v>
          </cell>
          <cell r="F29">
            <v>2329.6999999999998</v>
          </cell>
          <cell r="G29">
            <v>2329.6999999999998</v>
          </cell>
          <cell r="H29">
            <v>2329.6999999999998</v>
          </cell>
          <cell r="I29">
            <v>2329.6999999999998</v>
          </cell>
          <cell r="J29">
            <v>2329.6999999999998</v>
          </cell>
          <cell r="K29">
            <v>2329.6999999999998</v>
          </cell>
          <cell r="L29">
            <v>2329.6999999999998</v>
          </cell>
          <cell r="M29">
            <v>2329.6999999999998</v>
          </cell>
          <cell r="N29">
            <v>2329.6999999999998</v>
          </cell>
          <cell r="O29">
            <v>2329.6999999999998</v>
          </cell>
          <cell r="P29">
            <v>2329.83</v>
          </cell>
          <cell r="Q29">
            <v>2331.0299999999997</v>
          </cell>
          <cell r="R29">
            <v>2331.0299999999997</v>
          </cell>
          <cell r="S29">
            <v>2331.2179999999998</v>
          </cell>
          <cell r="T29">
            <v>2331.9679999999998</v>
          </cell>
          <cell r="U29">
            <v>2343.2179999999998</v>
          </cell>
          <cell r="V29">
            <v>2484.2179999999998</v>
          </cell>
          <cell r="W29">
            <v>2484.2179999999998</v>
          </cell>
          <cell r="X29">
            <v>2484.2179999999998</v>
          </cell>
          <cell r="Y29">
            <v>2484.2179999999998</v>
          </cell>
          <cell r="Z29">
            <v>2537.2179999999998</v>
          </cell>
          <cell r="AA29">
            <v>2537.2179999999998</v>
          </cell>
          <cell r="AB29">
            <v>2537.6679999999997</v>
          </cell>
          <cell r="AC29">
            <v>2537.6679999999997</v>
          </cell>
          <cell r="AD29">
            <v>2537.6679999999997</v>
          </cell>
          <cell r="AE29">
            <v>2537.6679999999997</v>
          </cell>
          <cell r="AF29">
            <v>2537.6679999999997</v>
          </cell>
          <cell r="AG29">
            <v>2541.6679999999997</v>
          </cell>
          <cell r="AH29">
            <v>2541.6679999999997</v>
          </cell>
          <cell r="AI29">
            <v>2541.6679999999997</v>
          </cell>
          <cell r="AJ29">
            <v>2549.1679999999997</v>
          </cell>
          <cell r="AK29">
            <v>2549.1679999999997</v>
          </cell>
          <cell r="AL29">
            <v>2549.1679999999997</v>
          </cell>
          <cell r="AM29">
            <v>2549.1679999999997</v>
          </cell>
          <cell r="AN29">
            <v>2549.1679999999997</v>
          </cell>
          <cell r="AO29">
            <v>2593.1679999999997</v>
          </cell>
          <cell r="AP29">
            <v>2593.1679999999997</v>
          </cell>
          <cell r="AQ29">
            <v>2606.1679999999997</v>
          </cell>
          <cell r="AR29">
            <v>2611.6229999999996</v>
          </cell>
          <cell r="AS29">
            <v>2689.6229999999996</v>
          </cell>
          <cell r="AT29">
            <v>2689.6229999999996</v>
          </cell>
          <cell r="AU29">
            <v>2689.6229999999996</v>
          </cell>
          <cell r="AV29">
            <v>2689.6229999999996</v>
          </cell>
          <cell r="AW29">
            <v>2689.6229999999996</v>
          </cell>
          <cell r="AX29">
            <v>2689.6229999999996</v>
          </cell>
          <cell r="AY29">
            <v>2689.6229999999996</v>
          </cell>
          <cell r="AZ29">
            <v>2697.9229999999998</v>
          </cell>
          <cell r="BA29">
            <v>2702.9229999999998</v>
          </cell>
          <cell r="BB29">
            <v>2702.9229999999998</v>
          </cell>
          <cell r="BC29">
            <v>2702.9229999999998</v>
          </cell>
          <cell r="BD29">
            <v>2702.9229999999998</v>
          </cell>
        </row>
        <row r="41">
          <cell r="B41">
            <v>223</v>
          </cell>
          <cell r="C41">
            <v>223</v>
          </cell>
          <cell r="D41">
            <v>223</v>
          </cell>
          <cell r="E41">
            <v>223</v>
          </cell>
          <cell r="F41">
            <v>223</v>
          </cell>
          <cell r="G41">
            <v>530</v>
          </cell>
          <cell r="H41">
            <v>530</v>
          </cell>
          <cell r="I41">
            <v>837</v>
          </cell>
          <cell r="J41">
            <v>837</v>
          </cell>
          <cell r="K41">
            <v>837</v>
          </cell>
          <cell r="L41">
            <v>837</v>
          </cell>
          <cell r="M41">
            <v>837</v>
          </cell>
          <cell r="N41">
            <v>837</v>
          </cell>
          <cell r="O41">
            <v>837</v>
          </cell>
          <cell r="P41">
            <v>1577</v>
          </cell>
          <cell r="Q41">
            <v>1577</v>
          </cell>
          <cell r="R41">
            <v>2317</v>
          </cell>
          <cell r="S41">
            <v>2317</v>
          </cell>
          <cell r="T41">
            <v>2317</v>
          </cell>
          <cell r="U41">
            <v>2317</v>
          </cell>
          <cell r="V41">
            <v>2352</v>
          </cell>
          <cell r="W41">
            <v>2352</v>
          </cell>
          <cell r="X41">
            <v>2352</v>
          </cell>
          <cell r="Y41">
            <v>2352</v>
          </cell>
          <cell r="Z41">
            <v>2352</v>
          </cell>
          <cell r="AA41">
            <v>2352</v>
          </cell>
          <cell r="AB41">
            <v>2352</v>
          </cell>
          <cell r="AC41">
            <v>2352</v>
          </cell>
          <cell r="AD41">
            <v>2352</v>
          </cell>
          <cell r="AE41">
            <v>2352</v>
          </cell>
          <cell r="AF41">
            <v>2352</v>
          </cell>
          <cell r="AG41">
            <v>2352</v>
          </cell>
          <cell r="AH41">
            <v>2352</v>
          </cell>
          <cell r="AI41">
            <v>2352</v>
          </cell>
          <cell r="AJ41">
            <v>2352</v>
          </cell>
          <cell r="AK41">
            <v>2352</v>
          </cell>
          <cell r="AL41">
            <v>2467.6999999999998</v>
          </cell>
          <cell r="AM41">
            <v>2467.6999999999998</v>
          </cell>
          <cell r="AN41">
            <v>2467.6999999999998</v>
          </cell>
          <cell r="AO41">
            <v>2467.6999999999998</v>
          </cell>
          <cell r="AP41">
            <v>2467.6999999999998</v>
          </cell>
          <cell r="AQ41">
            <v>2467.6999999999998</v>
          </cell>
          <cell r="AR41">
            <v>2467.6999999999998</v>
          </cell>
          <cell r="AS41">
            <v>2467.6999999999998</v>
          </cell>
          <cell r="AT41">
            <v>2467.6999999999998</v>
          </cell>
          <cell r="AU41">
            <v>2467.6999999999998</v>
          </cell>
          <cell r="AV41">
            <v>2294.6999999999998</v>
          </cell>
          <cell r="AW41">
            <v>2294.6999999999998</v>
          </cell>
          <cell r="AX41">
            <v>2294.6999999999998</v>
          </cell>
          <cell r="AY41">
            <v>2294.6999999999998</v>
          </cell>
          <cell r="AZ41">
            <v>1680.7</v>
          </cell>
          <cell r="BA41">
            <v>1630.7</v>
          </cell>
          <cell r="BB41">
            <v>1630.7</v>
          </cell>
          <cell r="BC41">
            <v>1630.7</v>
          </cell>
          <cell r="BD41">
            <v>1630.7</v>
          </cell>
        </row>
        <row r="56">
          <cell r="B56">
            <v>73</v>
          </cell>
          <cell r="C56">
            <v>73</v>
          </cell>
          <cell r="D56">
            <v>96.3</v>
          </cell>
          <cell r="E56">
            <v>96.3</v>
          </cell>
          <cell r="F56">
            <v>96.3</v>
          </cell>
          <cell r="G56">
            <v>96.3</v>
          </cell>
          <cell r="H56">
            <v>96.3</v>
          </cell>
          <cell r="I56">
            <v>96.3</v>
          </cell>
          <cell r="J56">
            <v>96.3</v>
          </cell>
          <cell r="K56">
            <v>137</v>
          </cell>
          <cell r="L56">
            <v>137</v>
          </cell>
          <cell r="M56">
            <v>137</v>
          </cell>
          <cell r="N56">
            <v>137</v>
          </cell>
          <cell r="O56">
            <v>137</v>
          </cell>
          <cell r="P56">
            <v>137</v>
          </cell>
          <cell r="Q56">
            <v>71</v>
          </cell>
          <cell r="R56">
            <v>64</v>
          </cell>
          <cell r="S56">
            <v>64</v>
          </cell>
          <cell r="T56">
            <v>64</v>
          </cell>
          <cell r="U56">
            <v>64</v>
          </cell>
          <cell r="V56">
            <v>64</v>
          </cell>
          <cell r="W56">
            <v>64</v>
          </cell>
          <cell r="X56">
            <v>64</v>
          </cell>
          <cell r="Y56">
            <v>64</v>
          </cell>
          <cell r="Z56">
            <v>64</v>
          </cell>
          <cell r="AA56">
            <v>64</v>
          </cell>
          <cell r="AB56">
            <v>64</v>
          </cell>
          <cell r="AC56">
            <v>64</v>
          </cell>
          <cell r="AD56">
            <v>64</v>
          </cell>
          <cell r="AE56">
            <v>64</v>
          </cell>
          <cell r="AF56">
            <v>64</v>
          </cell>
          <cell r="AG56">
            <v>64</v>
          </cell>
          <cell r="AH56">
            <v>64</v>
          </cell>
          <cell r="AI56">
            <v>107</v>
          </cell>
          <cell r="AJ56">
            <v>107</v>
          </cell>
          <cell r="AK56">
            <v>107</v>
          </cell>
          <cell r="AL56">
            <v>159</v>
          </cell>
          <cell r="AM56">
            <v>159</v>
          </cell>
          <cell r="AN56">
            <v>159</v>
          </cell>
          <cell r="AO56">
            <v>159</v>
          </cell>
          <cell r="AP56">
            <v>250</v>
          </cell>
          <cell r="AQ56">
            <v>400</v>
          </cell>
          <cell r="AR56">
            <v>400</v>
          </cell>
          <cell r="AS56">
            <v>400</v>
          </cell>
          <cell r="AT56">
            <v>400</v>
          </cell>
          <cell r="AU56">
            <v>418.6</v>
          </cell>
          <cell r="AV56">
            <v>418.6</v>
          </cell>
          <cell r="AW56">
            <v>418.6</v>
          </cell>
          <cell r="AX56">
            <v>418.6</v>
          </cell>
          <cell r="AY56">
            <v>418.6</v>
          </cell>
          <cell r="AZ56">
            <v>418.6</v>
          </cell>
          <cell r="BA56">
            <v>418.6</v>
          </cell>
          <cell r="BB56">
            <v>418.6</v>
          </cell>
          <cell r="BC56">
            <v>418.6</v>
          </cell>
          <cell r="BD56">
            <v>593.6</v>
          </cell>
        </row>
        <row r="61">
          <cell r="B61">
            <v>0</v>
          </cell>
          <cell r="AA61">
            <v>65</v>
          </cell>
          <cell r="AB61">
            <v>65</v>
          </cell>
          <cell r="AC61">
            <v>65</v>
          </cell>
          <cell r="AD61">
            <v>65</v>
          </cell>
          <cell r="AE61">
            <v>65</v>
          </cell>
          <cell r="AF61">
            <v>65</v>
          </cell>
          <cell r="AG61">
            <v>65</v>
          </cell>
          <cell r="AH61">
            <v>65</v>
          </cell>
          <cell r="AI61">
            <v>65</v>
          </cell>
          <cell r="AJ61">
            <v>65</v>
          </cell>
          <cell r="AK61">
            <v>65</v>
          </cell>
          <cell r="AL61">
            <v>65</v>
          </cell>
          <cell r="AM61">
            <v>65</v>
          </cell>
          <cell r="AN61">
            <v>65</v>
          </cell>
          <cell r="AO61">
            <v>65</v>
          </cell>
          <cell r="AP61">
            <v>65</v>
          </cell>
          <cell r="AQ61">
            <v>65</v>
          </cell>
          <cell r="AR61">
            <v>65</v>
          </cell>
          <cell r="AS61">
            <v>65</v>
          </cell>
          <cell r="AT61">
            <v>65</v>
          </cell>
          <cell r="AU61">
            <v>65</v>
          </cell>
          <cell r="AV61">
            <v>65</v>
          </cell>
          <cell r="AW61">
            <v>65</v>
          </cell>
          <cell r="AX61">
            <v>65</v>
          </cell>
          <cell r="AY61">
            <v>65</v>
          </cell>
          <cell r="AZ61">
            <v>65</v>
          </cell>
          <cell r="BA61">
            <v>52</v>
          </cell>
          <cell r="BB61">
            <v>52</v>
          </cell>
          <cell r="BC61">
            <v>52</v>
          </cell>
          <cell r="BD61">
            <v>52</v>
          </cell>
        </row>
        <row r="87">
          <cell r="B87">
            <v>0</v>
          </cell>
          <cell r="AJ87">
            <v>0</v>
          </cell>
          <cell r="AK87">
            <v>136.9</v>
          </cell>
          <cell r="AL87">
            <v>145.9</v>
          </cell>
          <cell r="AM87">
            <v>167.9</v>
          </cell>
          <cell r="AN87">
            <v>167.9</v>
          </cell>
          <cell r="AO87">
            <v>167.9</v>
          </cell>
          <cell r="AP87">
            <v>387.9</v>
          </cell>
          <cell r="AQ87">
            <v>387.9</v>
          </cell>
          <cell r="AR87">
            <v>626.5</v>
          </cell>
          <cell r="AS87">
            <v>646.5</v>
          </cell>
          <cell r="AT87">
            <v>666.2</v>
          </cell>
          <cell r="AU87">
            <v>666.2</v>
          </cell>
          <cell r="AV87">
            <v>691.2</v>
          </cell>
          <cell r="AW87">
            <v>691.2</v>
          </cell>
          <cell r="AX87">
            <v>805.9000000000002</v>
          </cell>
          <cell r="AY87">
            <v>805.9000000000002</v>
          </cell>
          <cell r="AZ87">
            <v>885.9000000000002</v>
          </cell>
          <cell r="BA87">
            <v>883.60000000000014</v>
          </cell>
          <cell r="BB87">
            <v>1473.6000000000001</v>
          </cell>
          <cell r="BC87">
            <v>1773.6000000000001</v>
          </cell>
          <cell r="BD87">
            <v>1873.6000000000001</v>
          </cell>
        </row>
        <row r="99">
          <cell r="B99">
            <v>0</v>
          </cell>
          <cell r="AV99">
            <v>8</v>
          </cell>
          <cell r="AW99">
            <v>17</v>
          </cell>
          <cell r="AX99">
            <v>17</v>
          </cell>
          <cell r="AY99">
            <v>17</v>
          </cell>
          <cell r="AZ99">
            <v>17</v>
          </cell>
          <cell r="BA99">
            <v>17</v>
          </cell>
          <cell r="BB99">
            <v>97</v>
          </cell>
          <cell r="BC99">
            <v>177</v>
          </cell>
          <cell r="BD99">
            <v>177</v>
          </cell>
        </row>
        <row r="107">
          <cell r="B107">
            <v>12.5</v>
          </cell>
          <cell r="C107">
            <v>12.5</v>
          </cell>
          <cell r="D107">
            <v>12.5</v>
          </cell>
          <cell r="E107">
            <v>12.5</v>
          </cell>
          <cell r="F107">
            <v>12.5</v>
          </cell>
          <cell r="G107">
            <v>12.5</v>
          </cell>
          <cell r="H107">
            <v>12.5</v>
          </cell>
          <cell r="I107">
            <v>12.5</v>
          </cell>
          <cell r="J107">
            <v>12.5</v>
          </cell>
          <cell r="K107">
            <v>12.5</v>
          </cell>
          <cell r="L107">
            <v>12.5</v>
          </cell>
          <cell r="M107">
            <v>12.5</v>
          </cell>
          <cell r="N107">
            <v>12.5</v>
          </cell>
          <cell r="O107">
            <v>12.5</v>
          </cell>
          <cell r="P107">
            <v>12.5</v>
          </cell>
          <cell r="Q107">
            <v>12.5</v>
          </cell>
          <cell r="R107">
            <v>12.5</v>
          </cell>
          <cell r="S107">
            <v>12.5</v>
          </cell>
          <cell r="T107">
            <v>12.5</v>
          </cell>
          <cell r="U107">
            <v>12.5</v>
          </cell>
          <cell r="V107">
            <v>12.5</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1.6</v>
          </cell>
          <cell r="AP107">
            <v>7.1</v>
          </cell>
          <cell r="AQ107">
            <v>7.1</v>
          </cell>
          <cell r="AR107">
            <v>7.1</v>
          </cell>
          <cell r="AS107">
            <v>9.6</v>
          </cell>
          <cell r="AT107">
            <v>9.6</v>
          </cell>
          <cell r="AU107">
            <v>9.6</v>
          </cell>
          <cell r="AV107">
            <v>9.6</v>
          </cell>
          <cell r="AW107">
            <v>9.6</v>
          </cell>
          <cell r="AX107">
            <v>9.6</v>
          </cell>
          <cell r="AY107">
            <v>9.6</v>
          </cell>
          <cell r="AZ107">
            <v>9.6</v>
          </cell>
          <cell r="BA107">
            <v>9.6</v>
          </cell>
          <cell r="BB107">
            <v>9.6</v>
          </cell>
          <cell r="BC107">
            <v>11.2</v>
          </cell>
          <cell r="BD107">
            <v>11.2</v>
          </cell>
        </row>
        <row r="126">
          <cell r="B126">
            <v>731</v>
          </cell>
          <cell r="C126">
            <v>731</v>
          </cell>
          <cell r="D126">
            <v>731</v>
          </cell>
          <cell r="E126">
            <v>731</v>
          </cell>
          <cell r="F126">
            <v>731</v>
          </cell>
          <cell r="G126">
            <v>884.5</v>
          </cell>
          <cell r="H126">
            <v>884.5</v>
          </cell>
          <cell r="I126">
            <v>1038</v>
          </cell>
          <cell r="J126">
            <v>1038</v>
          </cell>
          <cell r="K126">
            <v>1038</v>
          </cell>
          <cell r="L126">
            <v>1038</v>
          </cell>
          <cell r="M126">
            <v>1038</v>
          </cell>
          <cell r="N126">
            <v>1038</v>
          </cell>
          <cell r="O126">
            <v>1038</v>
          </cell>
          <cell r="P126">
            <v>1260</v>
          </cell>
          <cell r="Q126">
            <v>1260</v>
          </cell>
          <cell r="R126">
            <v>1482</v>
          </cell>
          <cell r="S126">
            <v>1482</v>
          </cell>
          <cell r="T126">
            <v>1482</v>
          </cell>
          <cell r="U126">
            <v>1482</v>
          </cell>
          <cell r="V126">
            <v>1482</v>
          </cell>
          <cell r="W126">
            <v>1482</v>
          </cell>
          <cell r="X126">
            <v>1482</v>
          </cell>
          <cell r="Y126">
            <v>1482</v>
          </cell>
          <cell r="Z126">
            <v>1535</v>
          </cell>
          <cell r="AA126">
            <v>1535</v>
          </cell>
          <cell r="AB126">
            <v>1535</v>
          </cell>
          <cell r="AC126">
            <v>1535</v>
          </cell>
          <cell r="AD126">
            <v>1535</v>
          </cell>
          <cell r="AE126">
            <v>222</v>
          </cell>
          <cell r="AF126">
            <v>222</v>
          </cell>
          <cell r="AG126">
            <v>222</v>
          </cell>
        </row>
        <row r="127">
          <cell r="B127">
            <v>57</v>
          </cell>
          <cell r="C127">
            <v>57</v>
          </cell>
          <cell r="D127">
            <v>80.3</v>
          </cell>
          <cell r="E127">
            <v>80.3</v>
          </cell>
          <cell r="F127">
            <v>80.3</v>
          </cell>
          <cell r="G127">
            <v>80.3</v>
          </cell>
          <cell r="H127">
            <v>80.3</v>
          </cell>
          <cell r="I127">
            <v>80.3</v>
          </cell>
          <cell r="J127">
            <v>80.3</v>
          </cell>
          <cell r="K127">
            <v>121</v>
          </cell>
          <cell r="L127">
            <v>121</v>
          </cell>
          <cell r="M127">
            <v>121</v>
          </cell>
          <cell r="N127">
            <v>121</v>
          </cell>
          <cell r="O127">
            <v>121</v>
          </cell>
          <cell r="P127">
            <v>121</v>
          </cell>
          <cell r="Q127">
            <v>121</v>
          </cell>
          <cell r="R127">
            <v>114</v>
          </cell>
          <cell r="S127">
            <v>114</v>
          </cell>
          <cell r="T127">
            <v>114</v>
          </cell>
          <cell r="U127">
            <v>114</v>
          </cell>
          <cell r="V127">
            <v>114</v>
          </cell>
          <cell r="W127">
            <v>114</v>
          </cell>
          <cell r="X127">
            <v>114</v>
          </cell>
          <cell r="Y127">
            <v>114</v>
          </cell>
          <cell r="Z127">
            <v>114</v>
          </cell>
          <cell r="AA127">
            <v>114</v>
          </cell>
          <cell r="AB127">
            <v>114</v>
          </cell>
          <cell r="AC127">
            <v>114</v>
          </cell>
          <cell r="AD127">
            <v>114</v>
          </cell>
          <cell r="AE127">
            <v>114</v>
          </cell>
          <cell r="AF127">
            <v>114</v>
          </cell>
          <cell r="AG127">
            <v>114</v>
          </cell>
          <cell r="AH127">
            <v>114</v>
          </cell>
          <cell r="AI127">
            <v>157</v>
          </cell>
          <cell r="AJ127">
            <v>157</v>
          </cell>
          <cell r="AK127">
            <v>157</v>
          </cell>
          <cell r="AL127">
            <v>157</v>
          </cell>
          <cell r="AM127">
            <v>177</v>
          </cell>
          <cell r="AN127">
            <v>177</v>
          </cell>
          <cell r="AO127">
            <v>177</v>
          </cell>
          <cell r="AP127">
            <v>187</v>
          </cell>
          <cell r="AQ127">
            <v>187</v>
          </cell>
          <cell r="AR127">
            <v>187</v>
          </cell>
          <cell r="AS127">
            <v>187</v>
          </cell>
          <cell r="AT127">
            <v>187</v>
          </cell>
          <cell r="AU127">
            <v>205.6</v>
          </cell>
          <cell r="AV127">
            <v>205.6</v>
          </cell>
          <cell r="AW127">
            <v>205.6</v>
          </cell>
          <cell r="AX127">
            <v>205.6</v>
          </cell>
          <cell r="AY127">
            <v>205.6</v>
          </cell>
          <cell r="AZ127">
            <v>205.6</v>
          </cell>
          <cell r="BA127">
            <v>155.60000000000002</v>
          </cell>
          <cell r="BB127">
            <v>155.60000000000002</v>
          </cell>
          <cell r="BC127">
            <v>155.60000000000002</v>
          </cell>
          <cell r="BD127">
            <v>155.60000000000002</v>
          </cell>
        </row>
        <row r="128">
          <cell r="AD128">
            <v>0</v>
          </cell>
          <cell r="AE128">
            <v>1313</v>
          </cell>
          <cell r="AF128">
            <v>1313</v>
          </cell>
          <cell r="AG128">
            <v>1317</v>
          </cell>
          <cell r="AH128">
            <v>1317</v>
          </cell>
          <cell r="AI128">
            <v>1317</v>
          </cell>
          <cell r="AJ128">
            <v>1317</v>
          </cell>
          <cell r="AK128">
            <v>1317</v>
          </cell>
          <cell r="AL128">
            <v>1317</v>
          </cell>
          <cell r="AM128">
            <v>1317</v>
          </cell>
          <cell r="AN128">
            <v>1317</v>
          </cell>
          <cell r="AO128">
            <v>1317</v>
          </cell>
          <cell r="AP128">
            <v>1317</v>
          </cell>
          <cell r="AQ128">
            <v>1317</v>
          </cell>
          <cell r="AR128">
            <v>1322</v>
          </cell>
          <cell r="AS128">
            <v>1346</v>
          </cell>
          <cell r="AT128">
            <v>1346</v>
          </cell>
          <cell r="AU128">
            <v>1138</v>
          </cell>
          <cell r="AV128">
            <v>0</v>
          </cell>
          <cell r="AW128">
            <v>0</v>
          </cell>
          <cell r="AX128">
            <v>0</v>
          </cell>
          <cell r="AY128">
            <v>0</v>
          </cell>
          <cell r="AZ128">
            <v>0</v>
          </cell>
          <cell r="BA128">
            <v>0</v>
          </cell>
          <cell r="BB128">
            <v>0</v>
          </cell>
        </row>
        <row r="129">
          <cell r="AD129">
            <v>0</v>
          </cell>
          <cell r="AE129">
            <v>0</v>
          </cell>
          <cell r="AF129">
            <v>0</v>
          </cell>
          <cell r="AG129">
            <v>0</v>
          </cell>
          <cell r="AH129">
            <v>222</v>
          </cell>
          <cell r="AI129">
            <v>222</v>
          </cell>
          <cell r="AJ129">
            <v>222</v>
          </cell>
          <cell r="AK129">
            <v>222</v>
          </cell>
          <cell r="AL129">
            <v>222</v>
          </cell>
          <cell r="AM129">
            <v>222</v>
          </cell>
          <cell r="AN129">
            <v>222</v>
          </cell>
          <cell r="AO129">
            <v>222</v>
          </cell>
          <cell r="AP129">
            <v>222</v>
          </cell>
          <cell r="AQ129">
            <v>372</v>
          </cell>
          <cell r="AR129">
            <v>412</v>
          </cell>
          <cell r="AS129">
            <v>412</v>
          </cell>
          <cell r="AT129">
            <v>412</v>
          </cell>
          <cell r="AU129">
            <v>412</v>
          </cell>
          <cell r="AV129">
            <v>848</v>
          </cell>
          <cell r="AW129">
            <v>848</v>
          </cell>
          <cell r="AX129">
            <v>857.7</v>
          </cell>
          <cell r="AY129">
            <v>857.7</v>
          </cell>
          <cell r="AZ129">
            <v>946</v>
          </cell>
          <cell r="BA129">
            <v>952.6</v>
          </cell>
          <cell r="BB129">
            <v>952.6</v>
          </cell>
          <cell r="BC129">
            <v>952.6</v>
          </cell>
          <cell r="BD129">
            <v>1127.5999999999999</v>
          </cell>
        </row>
        <row r="130">
          <cell r="AD130">
            <v>0</v>
          </cell>
          <cell r="AE130">
            <v>0</v>
          </cell>
          <cell r="AF130">
            <v>0</v>
          </cell>
          <cell r="AG130">
            <v>0</v>
          </cell>
          <cell r="AH130">
            <v>0</v>
          </cell>
          <cell r="AI130">
            <v>0</v>
          </cell>
          <cell r="AJ130">
            <v>7.5</v>
          </cell>
          <cell r="AK130">
            <v>142.5</v>
          </cell>
          <cell r="AL130">
            <v>194.5</v>
          </cell>
          <cell r="AM130">
            <v>194.5</v>
          </cell>
          <cell r="AN130">
            <v>194.5</v>
          </cell>
          <cell r="AO130">
            <v>194.5</v>
          </cell>
          <cell r="AP130">
            <v>194.5</v>
          </cell>
          <cell r="AQ130">
            <v>207.5</v>
          </cell>
          <cell r="AR130">
            <v>207.5</v>
          </cell>
          <cell r="AS130">
            <v>207.5</v>
          </cell>
          <cell r="AT130">
            <v>217.2</v>
          </cell>
          <cell r="AU130">
            <v>217.2</v>
          </cell>
          <cell r="AV130">
            <v>217.2</v>
          </cell>
          <cell r="AW130">
            <v>217.2</v>
          </cell>
          <cell r="AX130">
            <v>207.5</v>
          </cell>
          <cell r="AY130">
            <v>207.5</v>
          </cell>
          <cell r="AZ130">
            <v>207.5</v>
          </cell>
          <cell r="BA130">
            <v>207.5</v>
          </cell>
          <cell r="BB130">
            <v>207.5</v>
          </cell>
          <cell r="BC130">
            <v>207.5</v>
          </cell>
          <cell r="BD130">
            <v>207.5</v>
          </cell>
        </row>
        <row r="131">
          <cell r="A131" t="str">
            <v>NWE QFs (mostly wind)</v>
          </cell>
          <cell r="B131">
            <v>2</v>
          </cell>
          <cell r="C131">
            <v>2</v>
          </cell>
          <cell r="D131">
            <v>2</v>
          </cell>
          <cell r="E131">
            <v>2</v>
          </cell>
          <cell r="F131">
            <v>2</v>
          </cell>
          <cell r="G131">
            <v>2</v>
          </cell>
          <cell r="H131">
            <v>2</v>
          </cell>
          <cell r="I131">
            <v>2</v>
          </cell>
          <cell r="J131">
            <v>2</v>
          </cell>
          <cell r="K131">
            <v>2</v>
          </cell>
          <cell r="L131">
            <v>2</v>
          </cell>
          <cell r="M131">
            <v>2</v>
          </cell>
          <cell r="N131">
            <v>2</v>
          </cell>
          <cell r="O131">
            <v>2</v>
          </cell>
          <cell r="P131">
            <v>2.13</v>
          </cell>
          <cell r="Q131">
            <v>3.33</v>
          </cell>
          <cell r="R131">
            <v>3.33</v>
          </cell>
          <cell r="S131">
            <v>3.5180000000000002</v>
          </cell>
          <cell r="T131">
            <v>4.2680000000000007</v>
          </cell>
          <cell r="U131">
            <v>15.517999999999999</v>
          </cell>
          <cell r="V131">
            <v>48.518000000000001</v>
          </cell>
          <cell r="W131">
            <v>48.518000000000001</v>
          </cell>
          <cell r="X131">
            <v>48.518000000000001</v>
          </cell>
          <cell r="Y131">
            <v>48.518000000000001</v>
          </cell>
          <cell r="Z131">
            <v>48.518000000000001</v>
          </cell>
          <cell r="AA131">
            <v>113.518</v>
          </cell>
          <cell r="AB131">
            <v>113.968</v>
          </cell>
          <cell r="AC131">
            <v>113.968</v>
          </cell>
          <cell r="AD131">
            <v>113.968</v>
          </cell>
          <cell r="AE131">
            <v>113.968</v>
          </cell>
          <cell r="AF131">
            <v>113.968</v>
          </cell>
          <cell r="AG131">
            <v>113.968</v>
          </cell>
          <cell r="AH131">
            <v>113.968</v>
          </cell>
          <cell r="AI131">
            <v>113.968</v>
          </cell>
          <cell r="AJ131">
            <v>113.968</v>
          </cell>
          <cell r="AK131">
            <v>115.86800000000001</v>
          </cell>
          <cell r="AL131">
            <v>124.86800000000001</v>
          </cell>
          <cell r="AM131">
            <v>126.86800000000001</v>
          </cell>
          <cell r="AN131">
            <v>126.86800000000001</v>
          </cell>
          <cell r="AO131">
            <v>126.86800000000001</v>
          </cell>
          <cell r="AP131">
            <v>126.86800000000001</v>
          </cell>
          <cell r="AQ131">
            <v>126.86800000000001</v>
          </cell>
          <cell r="AR131">
            <v>136.923</v>
          </cell>
          <cell r="AS131">
            <v>158.923</v>
          </cell>
          <cell r="AT131">
            <v>168.923</v>
          </cell>
          <cell r="AU131">
            <v>168.923</v>
          </cell>
          <cell r="AV131">
            <v>201.923</v>
          </cell>
          <cell r="AW131">
            <v>210.923</v>
          </cell>
          <cell r="AX131">
            <v>325.62299999999993</v>
          </cell>
          <cell r="AY131">
            <v>325.62299999999993</v>
          </cell>
          <cell r="AZ131">
            <v>325.62299999999993</v>
          </cell>
          <cell r="BA131">
            <v>308.72299999999996</v>
          </cell>
          <cell r="BB131">
            <v>388.72299999999996</v>
          </cell>
          <cell r="BC131">
            <v>468.72299999999996</v>
          </cell>
          <cell r="BD131">
            <v>468.72299999999996</v>
          </cell>
        </row>
        <row r="132">
          <cell r="AV132">
            <v>529</v>
          </cell>
          <cell r="AW132">
            <v>529</v>
          </cell>
          <cell r="AX132">
            <v>529</v>
          </cell>
          <cell r="AY132">
            <v>529</v>
          </cell>
          <cell r="AZ132">
            <v>222</v>
          </cell>
          <cell r="BA132">
            <v>222</v>
          </cell>
          <cell r="BB132">
            <v>222</v>
          </cell>
          <cell r="BC132">
            <v>222</v>
          </cell>
          <cell r="BD132">
            <v>222</v>
          </cell>
        </row>
        <row r="133">
          <cell r="B133">
            <v>466</v>
          </cell>
          <cell r="C133">
            <v>466</v>
          </cell>
          <cell r="D133">
            <v>466</v>
          </cell>
          <cell r="E133">
            <v>466</v>
          </cell>
          <cell r="F133">
            <v>466</v>
          </cell>
          <cell r="G133">
            <v>466</v>
          </cell>
          <cell r="H133">
            <v>466</v>
          </cell>
          <cell r="I133">
            <v>466</v>
          </cell>
          <cell r="J133">
            <v>466</v>
          </cell>
          <cell r="K133">
            <v>466</v>
          </cell>
          <cell r="L133">
            <v>466</v>
          </cell>
          <cell r="M133">
            <v>466</v>
          </cell>
          <cell r="N133">
            <v>466</v>
          </cell>
          <cell r="O133">
            <v>466</v>
          </cell>
          <cell r="P133">
            <v>577</v>
          </cell>
          <cell r="Q133">
            <v>577</v>
          </cell>
          <cell r="R133">
            <v>688</v>
          </cell>
          <cell r="S133">
            <v>688</v>
          </cell>
          <cell r="T133">
            <v>688</v>
          </cell>
          <cell r="U133">
            <v>688</v>
          </cell>
          <cell r="V133">
            <v>688</v>
          </cell>
          <cell r="W133">
            <v>688</v>
          </cell>
          <cell r="X133">
            <v>688</v>
          </cell>
          <cell r="Y133">
            <v>688</v>
          </cell>
          <cell r="Z133">
            <v>688</v>
          </cell>
          <cell r="AA133">
            <v>688</v>
          </cell>
          <cell r="AB133">
            <v>688</v>
          </cell>
          <cell r="AC133">
            <v>688</v>
          </cell>
          <cell r="AD133">
            <v>688</v>
          </cell>
          <cell r="AE133">
            <v>688</v>
          </cell>
          <cell r="AF133">
            <v>688</v>
          </cell>
          <cell r="AG133">
            <v>688</v>
          </cell>
          <cell r="AH133">
            <v>688</v>
          </cell>
          <cell r="AI133">
            <v>688</v>
          </cell>
          <cell r="AJ133">
            <v>688</v>
          </cell>
          <cell r="AK133">
            <v>688</v>
          </cell>
          <cell r="AL133">
            <v>688</v>
          </cell>
          <cell r="AM133">
            <v>688</v>
          </cell>
          <cell r="AN133">
            <v>688</v>
          </cell>
          <cell r="AO133">
            <v>732</v>
          </cell>
          <cell r="AP133">
            <v>732</v>
          </cell>
          <cell r="AQ133">
            <v>732</v>
          </cell>
          <cell r="AR133">
            <v>732</v>
          </cell>
          <cell r="AS133">
            <v>784</v>
          </cell>
          <cell r="AT133">
            <v>784</v>
          </cell>
          <cell r="AU133">
            <v>784</v>
          </cell>
          <cell r="AV133">
            <v>784</v>
          </cell>
          <cell r="AW133">
            <v>784</v>
          </cell>
          <cell r="AX133">
            <v>784</v>
          </cell>
          <cell r="AY133">
            <v>784</v>
          </cell>
          <cell r="AZ133">
            <v>784</v>
          </cell>
          <cell r="BA133">
            <v>784</v>
          </cell>
          <cell r="BB133">
            <v>784</v>
          </cell>
          <cell r="BC133">
            <v>784</v>
          </cell>
          <cell r="BD133">
            <v>884</v>
          </cell>
        </row>
        <row r="134">
          <cell r="B134">
            <v>0</v>
          </cell>
          <cell r="C134">
            <v>0</v>
          </cell>
          <cell r="D134">
            <v>0</v>
          </cell>
          <cell r="E134">
            <v>0</v>
          </cell>
          <cell r="F134">
            <v>0</v>
          </cell>
          <cell r="G134">
            <v>153.5</v>
          </cell>
          <cell r="H134">
            <v>153.5</v>
          </cell>
          <cell r="I134">
            <v>307</v>
          </cell>
          <cell r="J134">
            <v>307</v>
          </cell>
          <cell r="K134">
            <v>307</v>
          </cell>
          <cell r="L134">
            <v>307</v>
          </cell>
          <cell r="M134">
            <v>307</v>
          </cell>
          <cell r="N134">
            <v>307</v>
          </cell>
          <cell r="O134">
            <v>307</v>
          </cell>
          <cell r="P134">
            <v>492</v>
          </cell>
          <cell r="Q134">
            <v>492</v>
          </cell>
          <cell r="R134">
            <v>677</v>
          </cell>
          <cell r="S134">
            <v>677</v>
          </cell>
          <cell r="T134">
            <v>677</v>
          </cell>
          <cell r="U134">
            <v>677</v>
          </cell>
          <cell r="V134">
            <v>677</v>
          </cell>
          <cell r="W134">
            <v>677</v>
          </cell>
          <cell r="X134">
            <v>677</v>
          </cell>
          <cell r="Y134">
            <v>677</v>
          </cell>
          <cell r="Z134">
            <v>677</v>
          </cell>
          <cell r="AA134">
            <v>677</v>
          </cell>
          <cell r="AB134">
            <v>677</v>
          </cell>
          <cell r="AC134">
            <v>677</v>
          </cell>
          <cell r="AD134">
            <v>677</v>
          </cell>
          <cell r="AE134">
            <v>677</v>
          </cell>
          <cell r="AF134">
            <v>677</v>
          </cell>
          <cell r="AG134">
            <v>677</v>
          </cell>
          <cell r="AH134">
            <v>677</v>
          </cell>
          <cell r="AI134">
            <v>677</v>
          </cell>
          <cell r="AJ134">
            <v>677</v>
          </cell>
          <cell r="AK134">
            <v>677</v>
          </cell>
          <cell r="AL134">
            <v>677</v>
          </cell>
          <cell r="AM134">
            <v>677</v>
          </cell>
          <cell r="AN134">
            <v>677</v>
          </cell>
          <cell r="AO134">
            <v>677</v>
          </cell>
          <cell r="AP134">
            <v>677</v>
          </cell>
          <cell r="AQ134">
            <v>677</v>
          </cell>
          <cell r="AR134">
            <v>677</v>
          </cell>
          <cell r="AS134">
            <v>677</v>
          </cell>
          <cell r="AT134">
            <v>677</v>
          </cell>
          <cell r="AU134">
            <v>677</v>
          </cell>
          <cell r="AV134">
            <v>677</v>
          </cell>
          <cell r="AW134">
            <v>677</v>
          </cell>
          <cell r="AX134">
            <v>677</v>
          </cell>
          <cell r="AY134">
            <v>677</v>
          </cell>
          <cell r="AZ134">
            <v>370</v>
          </cell>
          <cell r="BA134">
            <v>370</v>
          </cell>
          <cell r="BB134">
            <v>720</v>
          </cell>
          <cell r="BC134">
            <v>720</v>
          </cell>
          <cell r="BD134">
            <v>720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148</v>
          </cell>
          <cell r="Q135">
            <v>148</v>
          </cell>
          <cell r="R135">
            <v>296</v>
          </cell>
          <cell r="S135">
            <v>296</v>
          </cell>
          <cell r="T135">
            <v>296</v>
          </cell>
          <cell r="U135">
            <v>296</v>
          </cell>
          <cell r="V135">
            <v>296</v>
          </cell>
          <cell r="W135">
            <v>296</v>
          </cell>
          <cell r="X135">
            <v>296</v>
          </cell>
          <cell r="Y135">
            <v>296</v>
          </cell>
          <cell r="Z135">
            <v>296</v>
          </cell>
          <cell r="AA135">
            <v>296</v>
          </cell>
          <cell r="AB135">
            <v>296</v>
          </cell>
          <cell r="AC135">
            <v>296</v>
          </cell>
          <cell r="AD135">
            <v>296</v>
          </cell>
          <cell r="AE135">
            <v>296</v>
          </cell>
          <cell r="AF135">
            <v>296</v>
          </cell>
          <cell r="AG135">
            <v>296</v>
          </cell>
          <cell r="AH135">
            <v>296</v>
          </cell>
          <cell r="AI135">
            <v>296</v>
          </cell>
          <cell r="AJ135">
            <v>296</v>
          </cell>
          <cell r="AK135">
            <v>296</v>
          </cell>
          <cell r="AL135">
            <v>296</v>
          </cell>
          <cell r="AM135">
            <v>296</v>
          </cell>
          <cell r="AN135">
            <v>296</v>
          </cell>
          <cell r="AO135">
            <v>296</v>
          </cell>
          <cell r="AP135">
            <v>296</v>
          </cell>
          <cell r="AQ135">
            <v>296</v>
          </cell>
          <cell r="AR135">
            <v>296</v>
          </cell>
          <cell r="AS135">
            <v>296</v>
          </cell>
          <cell r="AT135">
            <v>296</v>
          </cell>
          <cell r="AU135">
            <v>296</v>
          </cell>
          <cell r="AV135">
            <v>296</v>
          </cell>
          <cell r="AW135">
            <v>296</v>
          </cell>
          <cell r="AX135">
            <v>296</v>
          </cell>
          <cell r="AY135">
            <v>296</v>
          </cell>
          <cell r="AZ135">
            <v>296</v>
          </cell>
          <cell r="BA135">
            <v>296</v>
          </cell>
          <cell r="BB135">
            <v>296</v>
          </cell>
          <cell r="BC135">
            <v>596</v>
          </cell>
          <cell r="BD135">
            <v>596</v>
          </cell>
        </row>
        <row r="136">
          <cell r="B136">
            <v>4.0999999999999996</v>
          </cell>
          <cell r="C136">
            <v>4.0999999999999996</v>
          </cell>
          <cell r="D136">
            <v>4.0999999999999996</v>
          </cell>
          <cell r="E136">
            <v>4.0999999999999996</v>
          </cell>
          <cell r="F136">
            <v>4.0999999999999996</v>
          </cell>
          <cell r="G136">
            <v>4.0999999999999996</v>
          </cell>
          <cell r="H136">
            <v>4.0999999999999996</v>
          </cell>
          <cell r="I136">
            <v>4.0999999999999996</v>
          </cell>
          <cell r="J136">
            <v>4.0999999999999996</v>
          </cell>
          <cell r="K136">
            <v>4.0999999999999996</v>
          </cell>
          <cell r="L136">
            <v>4.0999999999999996</v>
          </cell>
          <cell r="M136">
            <v>4.0999999999999996</v>
          </cell>
          <cell r="N136">
            <v>4.0999999999999996</v>
          </cell>
          <cell r="O136">
            <v>4.0999999999999996</v>
          </cell>
          <cell r="P136">
            <v>78.099999999999994</v>
          </cell>
          <cell r="Q136">
            <v>78.099999999999994</v>
          </cell>
          <cell r="R136">
            <v>152.1</v>
          </cell>
          <cell r="S136">
            <v>152.1</v>
          </cell>
          <cell r="T136">
            <v>152.1</v>
          </cell>
          <cell r="U136">
            <v>152.1</v>
          </cell>
          <cell r="V136">
            <v>152.1</v>
          </cell>
          <cell r="W136">
            <v>152.1</v>
          </cell>
          <cell r="X136">
            <v>152.1</v>
          </cell>
          <cell r="Y136">
            <v>152.1</v>
          </cell>
          <cell r="Z136">
            <v>152.1</v>
          </cell>
          <cell r="AA136">
            <v>152.1</v>
          </cell>
          <cell r="AB136">
            <v>152.1</v>
          </cell>
          <cell r="AC136">
            <v>152.1</v>
          </cell>
          <cell r="AD136">
            <v>152.1</v>
          </cell>
          <cell r="AE136">
            <v>152.1</v>
          </cell>
          <cell r="AF136">
            <v>152.1</v>
          </cell>
          <cell r="AG136">
            <v>152.1</v>
          </cell>
          <cell r="AH136">
            <v>152.1</v>
          </cell>
          <cell r="AI136">
            <v>152.1</v>
          </cell>
          <cell r="AJ136">
            <v>152.1</v>
          </cell>
          <cell r="AK136">
            <v>152.1</v>
          </cell>
          <cell r="AL136">
            <v>152.1</v>
          </cell>
          <cell r="AM136">
            <v>152.1</v>
          </cell>
          <cell r="AN136">
            <v>152.1</v>
          </cell>
          <cell r="AO136">
            <v>152.1</v>
          </cell>
          <cell r="AP136">
            <v>152.1</v>
          </cell>
          <cell r="AQ136">
            <v>152.1</v>
          </cell>
          <cell r="AR136">
            <v>152.1</v>
          </cell>
          <cell r="AS136">
            <v>152.1</v>
          </cell>
          <cell r="AT136">
            <v>152.1</v>
          </cell>
          <cell r="AU136">
            <v>152.1</v>
          </cell>
          <cell r="AV136">
            <v>152.1</v>
          </cell>
          <cell r="AW136">
            <v>152.1</v>
          </cell>
          <cell r="AX136">
            <v>152.1</v>
          </cell>
          <cell r="AY136">
            <v>152.1</v>
          </cell>
          <cell r="AZ136">
            <v>152.1</v>
          </cell>
          <cell r="BA136">
            <v>152.1</v>
          </cell>
          <cell r="BB136">
            <v>392.1</v>
          </cell>
          <cell r="BC136">
            <v>392.1</v>
          </cell>
          <cell r="BD136">
            <v>392.1</v>
          </cell>
        </row>
        <row r="137">
          <cell r="A137" t="str">
            <v>Berkshire Hathaway (was Naturener)</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210</v>
          </cell>
          <cell r="AQ137">
            <v>210</v>
          </cell>
          <cell r="AR137">
            <v>399</v>
          </cell>
          <cell r="AS137">
            <v>399</v>
          </cell>
          <cell r="AT137">
            <v>399</v>
          </cell>
          <cell r="AU137">
            <v>399</v>
          </cell>
          <cell r="AV137">
            <v>399</v>
          </cell>
          <cell r="AW137">
            <v>399</v>
          </cell>
          <cell r="AX137">
            <v>399</v>
          </cell>
          <cell r="AY137">
            <v>399</v>
          </cell>
          <cell r="AZ137">
            <v>399</v>
          </cell>
          <cell r="BA137">
            <v>399</v>
          </cell>
          <cell r="BB137">
            <v>399</v>
          </cell>
          <cell r="BC137">
            <v>399</v>
          </cell>
          <cell r="BD137">
            <v>399</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91</v>
          </cell>
          <cell r="AQ138">
            <v>91</v>
          </cell>
          <cell r="AR138">
            <v>91</v>
          </cell>
          <cell r="AS138">
            <v>91</v>
          </cell>
          <cell r="AT138">
            <v>91</v>
          </cell>
          <cell r="AU138">
            <v>91</v>
          </cell>
          <cell r="AV138">
            <v>91</v>
          </cell>
          <cell r="AW138">
            <v>91</v>
          </cell>
          <cell r="AX138">
            <v>91</v>
          </cell>
          <cell r="AY138">
            <v>91</v>
          </cell>
          <cell r="AZ138">
            <v>91</v>
          </cell>
          <cell r="BA138">
            <v>91</v>
          </cell>
          <cell r="BB138">
            <v>91</v>
          </cell>
          <cell r="BC138">
            <v>91</v>
          </cell>
          <cell r="BD138">
            <v>91</v>
          </cell>
        </row>
        <row r="139">
          <cell r="AU139">
            <v>208</v>
          </cell>
          <cell r="AV139">
            <v>208</v>
          </cell>
          <cell r="AW139">
            <v>208</v>
          </cell>
          <cell r="AX139">
            <v>208</v>
          </cell>
          <cell r="AY139">
            <v>208</v>
          </cell>
          <cell r="AZ139">
            <v>208</v>
          </cell>
          <cell r="BA139">
            <v>208</v>
          </cell>
          <cell r="BB139">
            <v>208</v>
          </cell>
          <cell r="BC139">
            <v>208</v>
          </cell>
          <cell r="BD139">
            <v>208</v>
          </cell>
        </row>
        <row r="140">
          <cell r="B140">
            <v>584.79999999999995</v>
          </cell>
          <cell r="C140">
            <v>584.79999999999995</v>
          </cell>
          <cell r="D140">
            <v>584.79999999999995</v>
          </cell>
          <cell r="E140">
            <v>584.79999999999995</v>
          </cell>
          <cell r="F140">
            <v>584.79999999999995</v>
          </cell>
          <cell r="G140">
            <v>584.79999999999995</v>
          </cell>
          <cell r="H140">
            <v>584.79999999999995</v>
          </cell>
          <cell r="I140">
            <v>584.79999999999995</v>
          </cell>
          <cell r="J140">
            <v>584.79999999999995</v>
          </cell>
          <cell r="K140">
            <v>584.79999999999995</v>
          </cell>
          <cell r="L140">
            <v>584.79999999999995</v>
          </cell>
          <cell r="M140">
            <v>584.79999999999995</v>
          </cell>
          <cell r="N140">
            <v>584.79999999999995</v>
          </cell>
          <cell r="O140">
            <v>584.79999999999995</v>
          </cell>
          <cell r="P140">
            <v>584.79999999999995</v>
          </cell>
          <cell r="Q140">
            <v>584.79999999999995</v>
          </cell>
          <cell r="R140">
            <v>584.79999999999995</v>
          </cell>
          <cell r="S140">
            <v>584.79999999999995</v>
          </cell>
          <cell r="T140">
            <v>584.79999999999995</v>
          </cell>
          <cell r="U140">
            <v>584.79999999999995</v>
          </cell>
          <cell r="V140">
            <v>727.8</v>
          </cell>
          <cell r="W140">
            <v>727.8</v>
          </cell>
          <cell r="X140">
            <v>727.8</v>
          </cell>
          <cell r="Y140">
            <v>727.8</v>
          </cell>
          <cell r="Z140">
            <v>727.8</v>
          </cell>
          <cell r="AA140">
            <v>727.8</v>
          </cell>
          <cell r="AB140">
            <v>727.8</v>
          </cell>
          <cell r="AC140">
            <v>727.8</v>
          </cell>
          <cell r="AD140">
            <v>727.8</v>
          </cell>
          <cell r="AE140">
            <v>727.8</v>
          </cell>
          <cell r="AF140">
            <v>727.8</v>
          </cell>
          <cell r="AG140">
            <v>727.8</v>
          </cell>
          <cell r="AH140">
            <v>727.8</v>
          </cell>
          <cell r="AI140">
            <v>727.8</v>
          </cell>
          <cell r="AJ140">
            <v>727.8</v>
          </cell>
          <cell r="AK140">
            <v>727.8</v>
          </cell>
          <cell r="AL140">
            <v>727.8</v>
          </cell>
          <cell r="AM140">
            <v>727.8</v>
          </cell>
          <cell r="AN140">
            <v>727.8</v>
          </cell>
          <cell r="AO140">
            <v>727.8</v>
          </cell>
          <cell r="AP140">
            <v>727.8</v>
          </cell>
          <cell r="AQ140">
            <v>727.8</v>
          </cell>
          <cell r="AR140">
            <v>727.8</v>
          </cell>
          <cell r="AS140">
            <v>727.8</v>
          </cell>
          <cell r="AT140">
            <v>727.8</v>
          </cell>
          <cell r="AU140">
            <v>727.8</v>
          </cell>
          <cell r="AV140">
            <v>727.8</v>
          </cell>
          <cell r="AW140">
            <v>727.8</v>
          </cell>
          <cell r="AX140">
            <v>727.8</v>
          </cell>
          <cell r="AY140">
            <v>727.8</v>
          </cell>
          <cell r="AZ140">
            <v>727.8</v>
          </cell>
          <cell r="BA140">
            <v>727.8</v>
          </cell>
          <cell r="BB140">
            <v>727.8</v>
          </cell>
          <cell r="BC140">
            <v>727.8</v>
          </cell>
          <cell r="BD140">
            <v>727.8</v>
          </cell>
        </row>
        <row r="141">
          <cell r="B141">
            <v>710.3</v>
          </cell>
          <cell r="C141">
            <v>710.3</v>
          </cell>
          <cell r="D141">
            <v>710.3</v>
          </cell>
          <cell r="E141">
            <v>710.3</v>
          </cell>
          <cell r="F141">
            <v>710.3</v>
          </cell>
          <cell r="G141">
            <v>710.3</v>
          </cell>
          <cell r="H141">
            <v>710.3</v>
          </cell>
          <cell r="I141">
            <v>710.3</v>
          </cell>
          <cell r="J141">
            <v>710.3</v>
          </cell>
          <cell r="K141">
            <v>710.3</v>
          </cell>
          <cell r="L141">
            <v>710.3</v>
          </cell>
          <cell r="M141">
            <v>710.3</v>
          </cell>
          <cell r="N141">
            <v>710.3</v>
          </cell>
          <cell r="O141">
            <v>710.3</v>
          </cell>
          <cell r="P141">
            <v>710.3</v>
          </cell>
          <cell r="Q141">
            <v>710.3</v>
          </cell>
          <cell r="R141">
            <v>710.3</v>
          </cell>
          <cell r="S141">
            <v>710.3</v>
          </cell>
          <cell r="T141">
            <v>710.3</v>
          </cell>
          <cell r="U141">
            <v>710.3</v>
          </cell>
          <cell r="V141">
            <v>710.3</v>
          </cell>
          <cell r="W141">
            <v>710.3</v>
          </cell>
          <cell r="X141">
            <v>710.3</v>
          </cell>
          <cell r="Y141">
            <v>710.3</v>
          </cell>
          <cell r="Z141">
            <v>710.3</v>
          </cell>
          <cell r="AA141">
            <v>710.3</v>
          </cell>
          <cell r="AB141">
            <v>710.3</v>
          </cell>
          <cell r="AC141">
            <v>710.3</v>
          </cell>
          <cell r="AD141">
            <v>710.3</v>
          </cell>
          <cell r="AE141">
            <v>710.3</v>
          </cell>
          <cell r="AF141">
            <v>710.3</v>
          </cell>
          <cell r="AG141">
            <v>710.3</v>
          </cell>
          <cell r="AH141">
            <v>710.3</v>
          </cell>
          <cell r="AI141">
            <v>710.3</v>
          </cell>
          <cell r="AJ141">
            <v>710.3</v>
          </cell>
          <cell r="AK141">
            <v>710.3</v>
          </cell>
          <cell r="AL141">
            <v>710.3</v>
          </cell>
          <cell r="AM141">
            <v>710.3</v>
          </cell>
          <cell r="AN141">
            <v>710.3</v>
          </cell>
          <cell r="AO141">
            <v>710.3</v>
          </cell>
          <cell r="AP141">
            <v>710.3</v>
          </cell>
          <cell r="AQ141">
            <v>710.3</v>
          </cell>
          <cell r="AR141">
            <v>710.3</v>
          </cell>
          <cell r="AS141">
            <v>710.3</v>
          </cell>
          <cell r="AT141">
            <v>710.3</v>
          </cell>
          <cell r="AU141">
            <v>710.3</v>
          </cell>
          <cell r="AV141">
            <v>710.3</v>
          </cell>
          <cell r="AW141">
            <v>710.3</v>
          </cell>
          <cell r="AX141">
            <v>710.3</v>
          </cell>
          <cell r="AY141">
            <v>710.3</v>
          </cell>
          <cell r="AZ141">
            <v>710.3</v>
          </cell>
          <cell r="BA141">
            <v>710.3</v>
          </cell>
          <cell r="BB141">
            <v>710.3</v>
          </cell>
          <cell r="BC141">
            <v>710.3</v>
          </cell>
          <cell r="BD141">
            <v>710.3</v>
          </cell>
        </row>
        <row r="142">
          <cell r="A142" t="str">
            <v>Hardin/Big Horn Data Plant</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115.7</v>
          </cell>
          <cell r="AM142">
            <v>115.7</v>
          </cell>
          <cell r="AN142">
            <v>115.7</v>
          </cell>
          <cell r="AO142">
            <v>115.7</v>
          </cell>
          <cell r="AP142">
            <v>115.7</v>
          </cell>
          <cell r="AQ142">
            <v>115.7</v>
          </cell>
          <cell r="AR142">
            <v>115.7</v>
          </cell>
          <cell r="AS142">
            <v>115.7</v>
          </cell>
          <cell r="AT142">
            <v>115.7</v>
          </cell>
          <cell r="AU142">
            <v>115.7</v>
          </cell>
          <cell r="AV142">
            <v>115.7</v>
          </cell>
          <cell r="AW142">
            <v>115.7</v>
          </cell>
          <cell r="AX142">
            <v>115.7</v>
          </cell>
          <cell r="AY142">
            <v>115.7</v>
          </cell>
          <cell r="AZ142">
            <v>115.7</v>
          </cell>
          <cell r="BA142">
            <v>115.7</v>
          </cell>
          <cell r="BB142">
            <v>115.7</v>
          </cell>
          <cell r="BC142">
            <v>115.7</v>
          </cell>
          <cell r="BD142">
            <v>115.7</v>
          </cell>
        </row>
        <row r="143">
          <cell r="B143">
            <v>17</v>
          </cell>
          <cell r="C143">
            <v>17</v>
          </cell>
          <cell r="D143">
            <v>17</v>
          </cell>
          <cell r="E143">
            <v>17</v>
          </cell>
          <cell r="F143">
            <v>17</v>
          </cell>
          <cell r="G143">
            <v>17</v>
          </cell>
          <cell r="H143">
            <v>17</v>
          </cell>
          <cell r="I143">
            <v>17</v>
          </cell>
          <cell r="J143">
            <v>17</v>
          </cell>
          <cell r="K143">
            <v>17</v>
          </cell>
          <cell r="L143">
            <v>17</v>
          </cell>
          <cell r="M143">
            <v>17</v>
          </cell>
          <cell r="N143">
            <v>17</v>
          </cell>
          <cell r="O143">
            <v>17</v>
          </cell>
          <cell r="P143">
            <v>17</v>
          </cell>
          <cell r="Q143">
            <v>17</v>
          </cell>
          <cell r="R143">
            <v>17</v>
          </cell>
          <cell r="S143">
            <v>17</v>
          </cell>
          <cell r="T143">
            <v>17</v>
          </cell>
          <cell r="U143">
            <v>17</v>
          </cell>
          <cell r="V143">
            <v>17</v>
          </cell>
          <cell r="W143">
            <v>4.5</v>
          </cell>
          <cell r="X143">
            <v>4.5</v>
          </cell>
          <cell r="Y143">
            <v>4.5</v>
          </cell>
          <cell r="Z143">
            <v>4.5</v>
          </cell>
          <cell r="AA143">
            <v>4.5</v>
          </cell>
          <cell r="AB143">
            <v>4.5</v>
          </cell>
          <cell r="AC143">
            <v>4.5</v>
          </cell>
          <cell r="AD143">
            <v>4.5</v>
          </cell>
          <cell r="AE143">
            <v>4.5</v>
          </cell>
          <cell r="AF143">
            <v>4.5</v>
          </cell>
          <cell r="AG143">
            <v>4.5</v>
          </cell>
          <cell r="AH143">
            <v>4.5</v>
          </cell>
          <cell r="AI143">
            <v>4.5</v>
          </cell>
          <cell r="AJ143">
            <v>4.5</v>
          </cell>
          <cell r="AK143">
            <v>4.5</v>
          </cell>
          <cell r="AL143">
            <v>4.5</v>
          </cell>
          <cell r="AM143">
            <v>4.5</v>
          </cell>
          <cell r="AN143">
            <v>4.5</v>
          </cell>
          <cell r="AO143">
            <v>6.1</v>
          </cell>
          <cell r="AP143">
            <v>11.6</v>
          </cell>
          <cell r="AQ143">
            <v>11.6</v>
          </cell>
          <cell r="AR143">
            <v>11.6</v>
          </cell>
          <cell r="AS143">
            <v>14.1</v>
          </cell>
          <cell r="AT143">
            <v>14.1</v>
          </cell>
          <cell r="AU143">
            <v>14.1</v>
          </cell>
          <cell r="AV143">
            <v>14.1</v>
          </cell>
          <cell r="AW143">
            <v>14.1</v>
          </cell>
          <cell r="AX143">
            <v>14.1</v>
          </cell>
          <cell r="AY143">
            <v>14.1</v>
          </cell>
          <cell r="AZ143">
            <v>14.1</v>
          </cell>
          <cell r="BA143">
            <v>14.1</v>
          </cell>
          <cell r="BB143">
            <v>14.1</v>
          </cell>
          <cell r="BC143">
            <v>15.7</v>
          </cell>
          <cell r="BD143">
            <v>15.7</v>
          </cell>
        </row>
        <row r="151">
          <cell r="A151" t="str">
            <v>Hydro Capacity</v>
          </cell>
          <cell r="B151">
            <v>0.88306421044651651</v>
          </cell>
          <cell r="C151">
            <v>0.88306421044651651</v>
          </cell>
          <cell r="D151">
            <v>0.87533345857599087</v>
          </cell>
          <cell r="E151">
            <v>0.87533345857599087</v>
          </cell>
          <cell r="F151">
            <v>0.87533345857599087</v>
          </cell>
          <cell r="G151">
            <v>0.78480714165403398</v>
          </cell>
          <cell r="H151">
            <v>0.78480714165403398</v>
          </cell>
          <cell r="I151">
            <v>0.71125019081056318</v>
          </cell>
          <cell r="J151">
            <v>0.71125019081056318</v>
          </cell>
          <cell r="K151">
            <v>0.70252095772269463</v>
          </cell>
          <cell r="L151">
            <v>0.70252095772269463</v>
          </cell>
          <cell r="M151">
            <v>0.70252095772269463</v>
          </cell>
          <cell r="N151">
            <v>0.70252095772269463</v>
          </cell>
          <cell r="O151">
            <v>0.70252095772269463</v>
          </cell>
          <cell r="P151">
            <v>0.57436894927187876</v>
          </cell>
          <cell r="Q151">
            <v>0.58399410752267922</v>
          </cell>
          <cell r="R151">
            <v>0.49338876036346468</v>
          </cell>
          <cell r="S151">
            <v>0.49340891879684667</v>
          </cell>
          <cell r="T151">
            <v>0.49348932211582003</v>
          </cell>
          <cell r="U151">
            <v>0.49469231649424766</v>
          </cell>
          <cell r="V151">
            <v>0.50567079160660144</v>
          </cell>
          <cell r="W151">
            <v>0.50696071072756355</v>
          </cell>
          <cell r="X151">
            <v>0.50696071072756355</v>
          </cell>
          <cell r="Y151">
            <v>0.50696071072756355</v>
          </cell>
          <cell r="Z151">
            <v>0.5122362876013129</v>
          </cell>
          <cell r="AA151">
            <v>0.50560139077258104</v>
          </cell>
          <cell r="AB151">
            <v>0.50564572113556816</v>
          </cell>
          <cell r="AC151">
            <v>0.50564572113556816</v>
          </cell>
          <cell r="AD151">
            <v>0.50564572113556816</v>
          </cell>
          <cell r="AE151">
            <v>0.50564572113556816</v>
          </cell>
          <cell r="AF151">
            <v>0.50564572113556816</v>
          </cell>
          <cell r="AG151">
            <v>0.50603941968690735</v>
          </cell>
          <cell r="AH151">
            <v>0.50603941968690735</v>
          </cell>
          <cell r="AI151">
            <v>0.50174389636273042</v>
          </cell>
          <cell r="AJ151">
            <v>0.50248050133565458</v>
          </cell>
          <cell r="AK151">
            <v>0.48927729925981772</v>
          </cell>
          <cell r="AL151">
            <v>0.47322773135950902</v>
          </cell>
          <cell r="AM151">
            <v>0.47130289189700864</v>
          </cell>
          <cell r="AN151">
            <v>0.47130289189700864</v>
          </cell>
          <cell r="AO151">
            <v>0.47542960064300754</v>
          </cell>
          <cell r="AP151">
            <v>0.44935493239491875</v>
          </cell>
          <cell r="AQ151">
            <v>0.43920222020442651</v>
          </cell>
          <cell r="AR151">
            <v>0.42273479290693655</v>
          </cell>
          <cell r="AS151">
            <v>0.42839149257703729</v>
          </cell>
          <cell r="AT151">
            <v>0.4270515199528494</v>
          </cell>
          <cell r="AU151">
            <v>0.42579403909273839</v>
          </cell>
          <cell r="AV151">
            <v>0.43544497624387551</v>
          </cell>
          <cell r="AW151">
            <v>0.43481141978067878</v>
          </cell>
          <cell r="AX151">
            <v>0.42689562272247428</v>
          </cell>
          <cell r="AY151">
            <v>0.42689562272247428</v>
          </cell>
          <cell r="AZ151">
            <v>0.46719522304359878</v>
          </cell>
          <cell r="BA151">
            <v>0.47300016117112786</v>
          </cell>
          <cell r="BB151">
            <v>0.42336214251467985</v>
          </cell>
          <cell r="BC151">
            <v>0.39948474901725867</v>
          </cell>
          <cell r="BD151">
            <v>0.38388214326242076</v>
          </cell>
        </row>
        <row r="152">
          <cell r="A152" t="str">
            <v>Coal Capacity</v>
          </cell>
          <cell r="B152">
            <v>8.4527329239633089E-2</v>
          </cell>
          <cell r="C152">
            <v>8.4527329239633089E-2</v>
          </cell>
          <cell r="D152">
            <v>8.3787337967311665E-2</v>
          </cell>
          <cell r="E152">
            <v>8.3787337967311665E-2</v>
          </cell>
          <cell r="F152">
            <v>8.3787337967311665E-2</v>
          </cell>
          <cell r="G152">
            <v>0.17854135085059794</v>
          </cell>
          <cell r="H152">
            <v>0.17854135085059794</v>
          </cell>
          <cell r="I152">
            <v>0.25553350633491068</v>
          </cell>
          <cell r="J152">
            <v>0.25553350633491068</v>
          </cell>
          <cell r="K152">
            <v>0.25239732223629457</v>
          </cell>
          <cell r="L152">
            <v>0.25239732223629457</v>
          </cell>
          <cell r="M152">
            <v>0.25239732223629457</v>
          </cell>
          <cell r="N152">
            <v>0.25239732223629457</v>
          </cell>
          <cell r="O152">
            <v>0.25239732223629457</v>
          </cell>
          <cell r="P152">
            <v>0.38877507500622482</v>
          </cell>
          <cell r="Q152">
            <v>0.39508659586674788</v>
          </cell>
          <cell r="R152">
            <v>0.49041915280461762</v>
          </cell>
          <cell r="S152">
            <v>0.4903996386662654</v>
          </cell>
          <cell r="T152">
            <v>0.49032180516300183</v>
          </cell>
          <cell r="U152">
            <v>0.489157260364666</v>
          </cell>
          <cell r="V152">
            <v>0.47875738033406356</v>
          </cell>
          <cell r="W152">
            <v>0.47997864584800104</v>
          </cell>
          <cell r="X152">
            <v>0.47997864584800104</v>
          </cell>
          <cell r="Y152">
            <v>0.47997864584800104</v>
          </cell>
          <cell r="Z152">
            <v>0.47484281935501327</v>
          </cell>
          <cell r="AA152">
            <v>0.4686922728346995</v>
          </cell>
          <cell r="AB152">
            <v>0.46865024743617234</v>
          </cell>
          <cell r="AC152">
            <v>0.46865024743617234</v>
          </cell>
          <cell r="AD152">
            <v>0.46865024743617234</v>
          </cell>
          <cell r="AE152">
            <v>0.46865024743617234</v>
          </cell>
          <cell r="AF152">
            <v>0.46865024743617234</v>
          </cell>
          <cell r="AG152">
            <v>0.4682770193052776</v>
          </cell>
          <cell r="AH152">
            <v>0.4682770193052776</v>
          </cell>
          <cell r="AI152">
            <v>0.46430204269209907</v>
          </cell>
          <cell r="AJ152">
            <v>0.46361563425457231</v>
          </cell>
          <cell r="AK152">
            <v>0.45143364731515984</v>
          </cell>
          <cell r="AL152">
            <v>0.45810400596424422</v>
          </cell>
          <cell r="AM152">
            <v>0.45624068179666788</v>
          </cell>
          <cell r="AN152">
            <v>0.45624068179666788</v>
          </cell>
          <cell r="AO152">
            <v>0.45242638560507836</v>
          </cell>
          <cell r="AP152">
            <v>0.42761331570917926</v>
          </cell>
          <cell r="AQ152">
            <v>0.41586701962362493</v>
          </cell>
          <cell r="AR152">
            <v>0.39943845204933764</v>
          </cell>
          <cell r="AS152">
            <v>0.39304455911938402</v>
          </cell>
          <cell r="AT152">
            <v>0.3918151487355836</v>
          </cell>
          <cell r="AU152">
            <v>0.39066142365273893</v>
          </cell>
          <cell r="AV152">
            <v>0.37150767486254438</v>
          </cell>
          <cell r="AW152">
            <v>0.37096714482688603</v>
          </cell>
          <cell r="AX152">
            <v>0.36421364089363523</v>
          </cell>
          <cell r="AY152">
            <v>0.36421364089363523</v>
          </cell>
          <cell r="AZ152">
            <v>0.29104426307547565</v>
          </cell>
          <cell r="BA152">
            <v>0.28536564409040077</v>
          </cell>
          <cell r="BB152">
            <v>0.25541853978033724</v>
          </cell>
          <cell r="BC152">
            <v>0.24101307370666639</v>
          </cell>
          <cell r="BD152">
            <v>0.23159986837140001</v>
          </cell>
        </row>
        <row r="153">
          <cell r="B153">
            <v>2.7670381320597379E-2</v>
          </cell>
          <cell r="C153">
            <v>2.7670381320597379E-2</v>
          </cell>
          <cell r="D153">
            <v>3.6182603794852525E-2</v>
          </cell>
          <cell r="E153">
            <v>3.6182603794852525E-2</v>
          </cell>
          <cell r="F153">
            <v>3.6182603794852525E-2</v>
          </cell>
          <cell r="G153">
            <v>3.2440626579080339E-2</v>
          </cell>
          <cell r="H153">
            <v>3.2440626579080339E-2</v>
          </cell>
          <cell r="I153">
            <v>2.9400091589070369E-2</v>
          </cell>
          <cell r="J153">
            <v>2.9400091589070369E-2</v>
          </cell>
          <cell r="K153">
            <v>4.1312345455642004E-2</v>
          </cell>
          <cell r="L153">
            <v>4.1312345455642004E-2</v>
          </cell>
          <cell r="M153">
            <v>4.1312345455642004E-2</v>
          </cell>
          <cell r="N153">
            <v>4.1312345455642004E-2</v>
          </cell>
          <cell r="O153">
            <v>4.1312345455642004E-2</v>
          </cell>
          <cell r="P153">
            <v>3.37743724006676E-2</v>
          </cell>
          <cell r="Q153">
            <v>1.778766538144521E-2</v>
          </cell>
          <cell r="R153">
            <v>1.3546321009708902E-2</v>
          </cell>
          <cell r="S153">
            <v>1.3545781991644792E-2</v>
          </cell>
          <cell r="T153">
            <v>1.3543632080462718E-2</v>
          </cell>
          <cell r="U153">
            <v>1.3511465111497032E-2</v>
          </cell>
          <cell r="V153">
            <v>1.3027411709770438E-2</v>
          </cell>
          <cell r="W153">
            <v>1.3060643424435404E-2</v>
          </cell>
          <cell r="X153">
            <v>1.3060643424435404E-2</v>
          </cell>
          <cell r="Y153">
            <v>1.3060643424435404E-2</v>
          </cell>
          <cell r="Z153">
            <v>1.2920893043673829E-2</v>
          </cell>
          <cell r="AA153">
            <v>1.2753531233597265E-2</v>
          </cell>
          <cell r="AB153">
            <v>1.2752387685338023E-2</v>
          </cell>
          <cell r="AC153">
            <v>1.2752387685338023E-2</v>
          </cell>
          <cell r="AD153">
            <v>1.2752387685338023E-2</v>
          </cell>
          <cell r="AE153">
            <v>1.2752387685338023E-2</v>
          </cell>
          <cell r="AF153">
            <v>1.2752387685338023E-2</v>
          </cell>
          <cell r="AG153">
            <v>1.2742231817830683E-2</v>
          </cell>
          <cell r="AH153">
            <v>1.2742231817830683E-2</v>
          </cell>
          <cell r="AI153">
            <v>2.1122584425193283E-2</v>
          </cell>
          <cell r="AJ153">
            <v>2.1091357510730969E-2</v>
          </cell>
          <cell r="AK153">
            <v>2.0537159975647153E-2</v>
          </cell>
          <cell r="AL153">
            <v>2.951677146667538E-2</v>
          </cell>
          <cell r="AM153">
            <v>2.939671289284362E-2</v>
          </cell>
          <cell r="AN153">
            <v>2.939671289284362E-2</v>
          </cell>
          <cell r="AO153">
            <v>2.9150948377520552E-2</v>
          </cell>
          <cell r="AP153">
            <v>4.3321039399965483E-2</v>
          </cell>
          <cell r="AQ153">
            <v>6.7409655893929568E-2</v>
          </cell>
          <cell r="AR153">
            <v>6.4746679426078965E-2</v>
          </cell>
          <cell r="AS153">
            <v>6.3710266097075668E-2</v>
          </cell>
          <cell r="AT153">
            <v>6.3510985733368497E-2</v>
          </cell>
          <cell r="AU153">
            <v>6.6268538291136089E-2</v>
          </cell>
          <cell r="AV153">
            <v>6.7770563776293674E-2</v>
          </cell>
          <cell r="AW153">
            <v>6.7671960092619735E-2</v>
          </cell>
          <cell r="AX153">
            <v>6.6439983474125469E-2</v>
          </cell>
          <cell r="AY153">
            <v>6.6439983474125469E-2</v>
          </cell>
          <cell r="AZ153">
            <v>7.2488325414050161E-2</v>
          </cell>
          <cell r="BA153">
            <v>7.3253240090906821E-2</v>
          </cell>
          <cell r="BB153">
            <v>6.5565831086066825E-2</v>
          </cell>
          <cell r="BC153">
            <v>6.1867954040357241E-2</v>
          </cell>
          <cell r="BD153">
            <v>8.4305931112567026E-2</v>
          </cell>
        </row>
        <row r="154">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1.2952805159122222E-2</v>
          </cell>
          <cell r="AB154">
            <v>1.295164374292143E-2</v>
          </cell>
          <cell r="AC154">
            <v>1.295164374292143E-2</v>
          </cell>
          <cell r="AD154">
            <v>1.295164374292143E-2</v>
          </cell>
          <cell r="AE154">
            <v>1.295164374292143E-2</v>
          </cell>
          <cell r="AF154">
            <v>1.295164374292143E-2</v>
          </cell>
          <cell r="AG154">
            <v>1.2941329189984288E-2</v>
          </cell>
          <cell r="AH154">
            <v>1.2941329189984288E-2</v>
          </cell>
          <cell r="AI154">
            <v>1.2831476519977228E-2</v>
          </cell>
          <cell r="AJ154">
            <v>1.2812506899042177E-2</v>
          </cell>
          <cell r="AK154">
            <v>1.2475844845019299E-2</v>
          </cell>
          <cell r="AL154">
            <v>1.206660468763459E-2</v>
          </cell>
          <cell r="AM154">
            <v>1.201752413858387E-2</v>
          </cell>
          <cell r="AN154">
            <v>1.201752413858387E-2</v>
          </cell>
          <cell r="AO154">
            <v>1.1917054368168778E-2</v>
          </cell>
          <cell r="AP154">
            <v>1.1263470243991026E-2</v>
          </cell>
          <cell r="AQ154">
            <v>1.0954069082763555E-2</v>
          </cell>
          <cell r="AR154">
            <v>1.0521335406737832E-2</v>
          </cell>
          <cell r="AS154">
            <v>1.0352918240774795E-2</v>
          </cell>
          <cell r="AT154">
            <v>1.0320535181672381E-2</v>
          </cell>
          <cell r="AU154">
            <v>1.0290145697381379E-2</v>
          </cell>
          <cell r="AV154">
            <v>1.0523379468368583E-2</v>
          </cell>
          <cell r="AW154">
            <v>1.0508068337363312E-2</v>
          </cell>
          <cell r="AX154">
            <v>1.0316767620205818E-2</v>
          </cell>
          <cell r="AY154">
            <v>1.0316767620205818E-2</v>
          </cell>
          <cell r="AZ154">
            <v>1.1255951151250025E-2</v>
          </cell>
          <cell r="BA154">
            <v>9.0997813777524E-3</v>
          </cell>
          <cell r="BB154">
            <v>8.1448237373996056E-3</v>
          </cell>
          <cell r="BC154">
            <v>7.685460129236924E-3</v>
          </cell>
          <cell r="BE154" t="str">
            <v>Pet Coke</v>
          </cell>
        </row>
        <row r="155">
          <cell r="A155" t="str">
            <v>Wind Capacity</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2.6276048604356034E-2</v>
          </cell>
          <cell r="AL155">
            <v>2.7084886521936719E-2</v>
          </cell>
          <cell r="AM155">
            <v>3.1042189274895875E-2</v>
          </cell>
          <cell r="AN155">
            <v>3.1042189274895875E-2</v>
          </cell>
          <cell r="AO155">
            <v>3.0782668129469816E-2</v>
          </cell>
          <cell r="AP155">
            <v>6.7216924732986447E-2</v>
          </cell>
          <cell r="AQ155">
            <v>6.5370513803138186E-2</v>
          </cell>
          <cell r="AR155">
            <v>0.10140948665109618</v>
          </cell>
          <cell r="AS155">
            <v>0.10297171757939853</v>
          </cell>
          <cell r="AT155">
            <v>0.10577754673892524</v>
          </cell>
          <cell r="AU155">
            <v>0.10546607790146885</v>
          </cell>
          <cell r="AV155">
            <v>0.11190399828517485</v>
          </cell>
          <cell r="AW155">
            <v>0.11174118207362342</v>
          </cell>
          <cell r="AX155">
            <v>0.12791204654036725</v>
          </cell>
          <cell r="AY155">
            <v>0.12791204654036725</v>
          </cell>
          <cell r="AZ155">
            <v>0.15340995576757538</v>
          </cell>
          <cell r="BA155">
            <v>0.1546262851035004</v>
          </cell>
          <cell r="BB155">
            <v>0.2308117742198473</v>
          </cell>
          <cell r="BC155">
            <v>0.26213330933105017</v>
          </cell>
          <cell r="BD155">
            <v>0.2660976963148679</v>
          </cell>
        </row>
        <row r="156">
          <cell r="A156" t="str">
            <v>Solar Capacity</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1.2951851653376719E-3</v>
          </cell>
          <cell r="AW156">
            <v>2.7482640266950202E-3</v>
          </cell>
          <cell r="AX156">
            <v>2.6982315314384446E-3</v>
          </cell>
          <cell r="AY156">
            <v>2.6982315314384446E-3</v>
          </cell>
          <cell r="AZ156">
            <v>2.9438641472500065E-3</v>
          </cell>
          <cell r="BA156">
            <v>2.9749285273421308E-3</v>
          </cell>
          <cell r="BB156">
            <v>1.5193228894764649E-2</v>
          </cell>
          <cell r="BC156">
            <v>2.6160123901441068E-2</v>
          </cell>
          <cell r="BD156">
            <v>2.5138392531880663E-2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sheetData sheetId="1"/>
      <sheetData sheetId="2"/>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Savagian, Alexandria" id="{46172E1F-450A-41CF-8EB9-468A069982A1}" userId="S::CBA664@mt.gov::29f6dfcb-9cca-4999-842b-ef01765a618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H53" dT="2024-12-02T16:22:55.81" personId="{46172E1F-450A-41CF-8EB9-468A069982A1}" id="{DB4CA51D-A631-4D20-9D9B-8D851B495E07}">
    <text>Didn't include the other row for nw in this table, we might be missing almost 3 m MWh of sales from nw in industrial category</text>
  </threadedComment>
  <threadedComment ref="K59" dT="2024-12-02T17:07:33.78" personId="{46172E1F-450A-41CF-8EB9-468A069982A1}" id="{346984FB-026A-4C66-BBE2-1040B94B76E0}">
    <text>We might be missing some sales from NW</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4-12-02T15:51:58.22" personId="{46172E1F-450A-41CF-8EB9-468A069982A1}" id="{B9FC966A-D21A-453A-B28C-610A46120463}">
    <text>Should we not include the other cell for nw on form 861? It is only delivery service type as opposed to bundling. Additional 3060987 MWh and 410 customers (industrial?).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2"/>
  <sheetViews>
    <sheetView tabSelected="1" zoomScaleNormal="100" workbookViewId="0">
      <selection activeCell="C18" sqref="C18"/>
    </sheetView>
  </sheetViews>
  <sheetFormatPr defaultColWidth="13.5703125" defaultRowHeight="12.75"/>
  <cols>
    <col min="1" max="1" width="45" style="128" customWidth="1"/>
    <col min="2" max="2" width="30.5703125" style="128" customWidth="1"/>
    <col min="3" max="3" width="22.7109375" style="121" customWidth="1"/>
    <col min="4" max="4" width="24.5703125" style="151" customWidth="1"/>
    <col min="5" max="5" width="11.85546875" style="130" customWidth="1"/>
    <col min="6" max="6" width="12.28515625" style="131" customWidth="1"/>
    <col min="7" max="7" width="11.42578125" style="131" customWidth="1"/>
    <col min="8" max="8" width="11.7109375" style="131" customWidth="1"/>
    <col min="9" max="16384" width="13.5703125" style="121"/>
  </cols>
  <sheetData>
    <row r="1" spans="1:14" s="115" customFormat="1" ht="25.9" customHeight="1">
      <c r="A1" s="484" t="s">
        <v>566</v>
      </c>
      <c r="B1" s="484"/>
      <c r="C1" s="484"/>
      <c r="D1" s="484"/>
      <c r="E1" s="484"/>
      <c r="F1" s="484"/>
      <c r="G1" s="196"/>
      <c r="H1" s="196"/>
    </row>
    <row r="2" spans="1:14" ht="13.9" customHeight="1">
      <c r="A2" s="116"/>
      <c r="B2" s="116"/>
      <c r="C2" s="117"/>
      <c r="D2" s="118"/>
      <c r="E2" s="119" t="s">
        <v>119</v>
      </c>
      <c r="F2" s="197"/>
      <c r="G2" s="120"/>
      <c r="H2" s="120"/>
    </row>
    <row r="3" spans="1:14" ht="13.9" customHeight="1">
      <c r="A3" s="122" t="s">
        <v>11</v>
      </c>
      <c r="B3" s="116"/>
      <c r="C3" s="117"/>
      <c r="D3" s="123" t="s">
        <v>120</v>
      </c>
      <c r="E3" s="119" t="s">
        <v>121</v>
      </c>
      <c r="F3" s="198" t="s">
        <v>122</v>
      </c>
      <c r="G3" s="120"/>
      <c r="H3" s="120"/>
    </row>
    <row r="4" spans="1:14" ht="13.9" customHeight="1" thickBot="1">
      <c r="A4" s="124" t="s">
        <v>292</v>
      </c>
      <c r="B4" s="124" t="s">
        <v>74</v>
      </c>
      <c r="C4" s="125" t="s">
        <v>123</v>
      </c>
      <c r="D4" s="126" t="s">
        <v>124</v>
      </c>
      <c r="E4" s="127" t="s">
        <v>125</v>
      </c>
      <c r="F4" s="199" t="s">
        <v>230</v>
      </c>
      <c r="G4" s="120"/>
      <c r="H4" s="120"/>
    </row>
    <row r="5" spans="1:14" ht="13.9" customHeight="1">
      <c r="D5" s="129"/>
      <c r="F5" s="200"/>
    </row>
    <row r="6" spans="1:14" s="136" customFormat="1" ht="13.9" customHeight="1">
      <c r="A6" s="132" t="s">
        <v>50</v>
      </c>
      <c r="B6" s="132" t="s">
        <v>126</v>
      </c>
      <c r="C6" s="133" t="s">
        <v>127</v>
      </c>
      <c r="D6" s="134" t="s">
        <v>128</v>
      </c>
      <c r="E6" s="133">
        <v>1959</v>
      </c>
      <c r="F6" s="201">
        <v>562.4</v>
      </c>
      <c r="G6" s="135"/>
      <c r="H6" s="135"/>
    </row>
    <row r="7" spans="1:14" s="136" customFormat="1" ht="13.9" customHeight="1">
      <c r="A7" s="132"/>
      <c r="B7" s="132"/>
      <c r="C7" s="133"/>
      <c r="D7" s="134"/>
      <c r="E7" s="137"/>
      <c r="F7" s="201"/>
      <c r="G7" s="135"/>
      <c r="H7" s="135"/>
    </row>
    <row r="8" spans="1:14" s="136" customFormat="1" ht="13.9" customHeight="1">
      <c r="A8" s="132" t="s">
        <v>129</v>
      </c>
      <c r="B8" s="132" t="s">
        <v>130</v>
      </c>
      <c r="C8" s="133" t="s">
        <v>131</v>
      </c>
      <c r="D8" s="134" t="s">
        <v>132</v>
      </c>
      <c r="E8" s="137">
        <v>2010</v>
      </c>
      <c r="F8" s="201">
        <v>91</v>
      </c>
      <c r="G8" s="135"/>
      <c r="H8" s="135"/>
      <c r="I8" s="216"/>
      <c r="J8" s="215"/>
      <c r="K8" s="215"/>
      <c r="L8" s="215"/>
      <c r="M8" s="215"/>
      <c r="N8" s="215"/>
    </row>
    <row r="9" spans="1:14" s="136" customFormat="1" ht="13.9" customHeight="1">
      <c r="A9" s="132"/>
      <c r="B9" s="132"/>
      <c r="C9" s="133"/>
      <c r="D9" s="308"/>
      <c r="E9" s="137"/>
      <c r="F9" s="201"/>
      <c r="G9" s="135"/>
      <c r="H9" s="135"/>
      <c r="I9" s="216"/>
      <c r="J9" s="215"/>
      <c r="K9" s="215"/>
      <c r="L9" s="215"/>
      <c r="M9" s="215"/>
      <c r="N9" s="215"/>
    </row>
    <row r="10" spans="1:14" s="136" customFormat="1" ht="13.9" customHeight="1">
      <c r="A10" s="132" t="s">
        <v>424</v>
      </c>
      <c r="B10" s="132" t="s">
        <v>429</v>
      </c>
      <c r="C10" s="133" t="s">
        <v>144</v>
      </c>
      <c r="D10" s="134" t="s">
        <v>137</v>
      </c>
      <c r="E10" s="137">
        <v>2008</v>
      </c>
      <c r="F10" s="202">
        <v>210</v>
      </c>
      <c r="G10" s="135"/>
      <c r="H10" s="135"/>
      <c r="I10" s="216"/>
      <c r="J10" s="215"/>
      <c r="K10" s="215"/>
      <c r="L10" s="215"/>
      <c r="M10" s="215"/>
      <c r="N10" s="215"/>
    </row>
    <row r="11" spans="1:14" s="136" customFormat="1" ht="13.9" customHeight="1">
      <c r="A11" s="132" t="s">
        <v>424</v>
      </c>
      <c r="B11" s="132" t="s">
        <v>430</v>
      </c>
      <c r="C11" s="133" t="s">
        <v>144</v>
      </c>
      <c r="D11" s="134" t="s">
        <v>137</v>
      </c>
      <c r="E11" s="137">
        <v>2012</v>
      </c>
      <c r="F11" s="202">
        <v>189</v>
      </c>
      <c r="G11" s="135"/>
      <c r="H11" s="135"/>
      <c r="I11" s="216"/>
      <c r="J11" s="215"/>
      <c r="K11" s="215"/>
      <c r="L11" s="215"/>
      <c r="M11" s="215"/>
      <c r="N11" s="215"/>
    </row>
    <row r="12" spans="1:14" s="136" customFormat="1" ht="13.9" customHeight="1">
      <c r="A12" s="132"/>
      <c r="B12" s="132"/>
      <c r="C12" s="133"/>
      <c r="D12" s="308"/>
      <c r="E12" s="137"/>
      <c r="F12" s="201"/>
      <c r="G12" s="135"/>
      <c r="H12" s="135"/>
      <c r="I12" s="216"/>
      <c r="J12" s="215"/>
      <c r="K12" s="215"/>
      <c r="L12" s="215"/>
      <c r="M12" s="215"/>
      <c r="N12" s="215"/>
    </row>
    <row r="13" spans="1:14" s="136" customFormat="1" ht="13.9" customHeight="1">
      <c r="A13" s="132" t="s">
        <v>444</v>
      </c>
      <c r="B13" s="132" t="s">
        <v>410</v>
      </c>
      <c r="C13" s="133" t="s">
        <v>203</v>
      </c>
      <c r="D13" s="134" t="s">
        <v>186</v>
      </c>
      <c r="E13" s="133">
        <v>2006</v>
      </c>
      <c r="F13" s="201">
        <v>115.7</v>
      </c>
      <c r="G13" s="135"/>
      <c r="H13" s="135"/>
      <c r="I13" s="216"/>
      <c r="J13" s="215"/>
      <c r="K13" s="215"/>
      <c r="L13" s="215"/>
      <c r="M13" s="215"/>
      <c r="N13" s="215"/>
    </row>
    <row r="14" spans="1:14" s="136" customFormat="1" ht="13.9" customHeight="1">
      <c r="A14" s="132"/>
      <c r="B14" s="132"/>
      <c r="C14" s="133"/>
      <c r="D14" s="134"/>
      <c r="E14" s="137"/>
      <c r="F14" s="201"/>
      <c r="G14" s="135"/>
      <c r="H14" s="135"/>
      <c r="J14" s="145"/>
    </row>
    <row r="15" spans="1:14" s="136" customFormat="1" ht="13.9" customHeight="1">
      <c r="A15" s="132" t="s">
        <v>217</v>
      </c>
      <c r="B15" s="132" t="s">
        <v>218</v>
      </c>
      <c r="C15" s="133" t="s">
        <v>133</v>
      </c>
      <c r="D15" s="134" t="s">
        <v>219</v>
      </c>
      <c r="E15" s="137">
        <v>2013</v>
      </c>
      <c r="F15" s="201">
        <v>2.5</v>
      </c>
      <c r="G15" s="135"/>
      <c r="H15" s="135"/>
      <c r="J15" s="144"/>
      <c r="K15" s="144"/>
      <c r="L15" s="144"/>
      <c r="M15" s="144"/>
      <c r="N15" s="144"/>
    </row>
    <row r="16" spans="1:14" s="136" customFormat="1" ht="13.9" customHeight="1">
      <c r="A16" s="132"/>
      <c r="B16" s="132"/>
      <c r="C16" s="133"/>
      <c r="D16" s="134"/>
      <c r="E16" s="137"/>
      <c r="F16" s="201"/>
      <c r="G16" s="135"/>
      <c r="H16" s="135"/>
    </row>
    <row r="17" spans="1:8" s="136" customFormat="1" ht="15">
      <c r="A17" s="132" t="s">
        <v>52</v>
      </c>
      <c r="B17" s="138" t="s">
        <v>240</v>
      </c>
      <c r="C17" s="133" t="s">
        <v>133</v>
      </c>
      <c r="D17" s="134" t="s">
        <v>134</v>
      </c>
      <c r="E17" s="137">
        <v>2009</v>
      </c>
      <c r="F17" s="202">
        <v>3.2</v>
      </c>
      <c r="G17" s="139"/>
      <c r="H17" s="139"/>
    </row>
    <row r="18" spans="1:8" s="136" customFormat="1" ht="13.9" customHeight="1">
      <c r="A18" s="132"/>
      <c r="B18" s="138"/>
      <c r="C18" s="133"/>
      <c r="D18" s="134"/>
      <c r="E18" s="137"/>
      <c r="F18" s="202"/>
      <c r="G18" s="139"/>
      <c r="H18" s="139"/>
    </row>
    <row r="19" spans="1:8" s="136" customFormat="1" ht="13.9" customHeight="1">
      <c r="A19" s="132" t="s">
        <v>313</v>
      </c>
      <c r="B19" s="132" t="s">
        <v>87</v>
      </c>
      <c r="C19" s="133" t="s">
        <v>136</v>
      </c>
      <c r="D19" s="134" t="s">
        <v>137</v>
      </c>
      <c r="E19" s="137">
        <v>2007</v>
      </c>
      <c r="F19" s="202">
        <v>30</v>
      </c>
      <c r="G19" s="139"/>
      <c r="H19" s="139"/>
    </row>
    <row r="20" spans="1:8" s="136" customFormat="1" ht="13.9" customHeight="1">
      <c r="A20" s="132" t="s">
        <v>313</v>
      </c>
      <c r="B20" s="132" t="s">
        <v>138</v>
      </c>
      <c r="C20" s="133" t="s">
        <v>139</v>
      </c>
      <c r="D20" s="134" t="s">
        <v>140</v>
      </c>
      <c r="E20" s="133">
        <v>1979</v>
      </c>
      <c r="F20" s="202">
        <v>40.700000000000003</v>
      </c>
      <c r="G20" s="139"/>
      <c r="H20" s="139"/>
    </row>
    <row r="21" spans="1:8" s="136" customFormat="1" ht="13.9" customHeight="1">
      <c r="A21" s="132" t="s">
        <v>313</v>
      </c>
      <c r="B21" s="132" t="s">
        <v>141</v>
      </c>
      <c r="C21" s="133" t="s">
        <v>139</v>
      </c>
      <c r="D21" s="134" t="s">
        <v>140</v>
      </c>
      <c r="E21" s="137">
        <v>2003</v>
      </c>
      <c r="F21" s="202">
        <v>43</v>
      </c>
      <c r="G21" s="139"/>
      <c r="H21" s="139"/>
    </row>
    <row r="22" spans="1:8" s="136" customFormat="1" ht="13.9" customHeight="1">
      <c r="A22" s="132" t="s">
        <v>313</v>
      </c>
      <c r="B22" s="132" t="s">
        <v>142</v>
      </c>
      <c r="C22" s="133" t="s">
        <v>131</v>
      </c>
      <c r="D22" s="134" t="s">
        <v>376</v>
      </c>
      <c r="E22" s="133">
        <v>2015</v>
      </c>
      <c r="F22" s="202">
        <v>18.600000000000001</v>
      </c>
      <c r="G22" s="139"/>
      <c r="H22" s="195"/>
    </row>
    <row r="23" spans="1:8" s="136" customFormat="1" ht="13.9" customHeight="1">
      <c r="A23" s="132" t="s">
        <v>313</v>
      </c>
      <c r="B23" s="132" t="s">
        <v>90</v>
      </c>
      <c r="C23" s="133" t="s">
        <v>143</v>
      </c>
      <c r="D23" s="134" t="s">
        <v>140</v>
      </c>
      <c r="E23" s="133">
        <v>1972</v>
      </c>
      <c r="F23" s="202">
        <v>23.3</v>
      </c>
      <c r="G23" s="139"/>
      <c r="H23" s="195"/>
    </row>
    <row r="24" spans="1:8" s="136" customFormat="1" ht="13.9" customHeight="1">
      <c r="A24" s="132"/>
      <c r="B24" s="132"/>
      <c r="C24" s="133"/>
      <c r="D24" s="134"/>
      <c r="E24" s="137"/>
      <c r="F24" s="202"/>
      <c r="G24" s="135"/>
      <c r="H24" s="135"/>
    </row>
    <row r="25" spans="1:8" s="136" customFormat="1" ht="13.9" customHeight="1">
      <c r="A25" s="132" t="s">
        <v>412</v>
      </c>
      <c r="B25" s="132" t="s">
        <v>560</v>
      </c>
      <c r="C25" s="133" t="s">
        <v>411</v>
      </c>
      <c r="D25" s="308" t="s">
        <v>137</v>
      </c>
      <c r="E25" s="137">
        <v>2022</v>
      </c>
      <c r="F25" s="202">
        <v>350</v>
      </c>
      <c r="G25" s="135"/>
      <c r="H25" s="135"/>
    </row>
    <row r="26" spans="1:8" s="136" customFormat="1" ht="13.9" customHeight="1">
      <c r="A26" s="132" t="s">
        <v>412</v>
      </c>
      <c r="B26" s="132" t="s">
        <v>561</v>
      </c>
      <c r="C26" s="133" t="s">
        <v>411</v>
      </c>
      <c r="D26" s="308" t="s">
        <v>137</v>
      </c>
      <c r="E26" s="137">
        <v>2022</v>
      </c>
      <c r="F26" s="202">
        <v>300</v>
      </c>
      <c r="G26" s="135"/>
      <c r="H26" s="135"/>
    </row>
    <row r="27" spans="1:8" s="136" customFormat="1" ht="13.9" customHeight="1">
      <c r="A27" s="132" t="s">
        <v>412</v>
      </c>
      <c r="B27" s="132" t="s">
        <v>577</v>
      </c>
      <c r="C27" s="133" t="s">
        <v>411</v>
      </c>
      <c r="D27" s="308" t="s">
        <v>137</v>
      </c>
      <c r="E27" s="137">
        <v>2023</v>
      </c>
      <c r="F27" s="202">
        <v>100</v>
      </c>
      <c r="G27" s="135"/>
      <c r="H27" s="135"/>
    </row>
    <row r="28" spans="1:8" s="136" customFormat="1" ht="13.9" customHeight="1">
      <c r="A28" s="132"/>
      <c r="B28" s="132"/>
      <c r="C28" s="133"/>
      <c r="D28" s="308"/>
      <c r="E28" s="137"/>
      <c r="F28" s="202"/>
      <c r="G28" s="135"/>
      <c r="H28" s="135"/>
    </row>
    <row r="29" spans="1:8" s="136" customFormat="1" ht="13.9" customHeight="1">
      <c r="A29" s="132" t="s">
        <v>58</v>
      </c>
      <c r="B29" s="132" t="s">
        <v>145</v>
      </c>
      <c r="C29" s="133" t="s">
        <v>146</v>
      </c>
      <c r="D29" s="134" t="s">
        <v>128</v>
      </c>
      <c r="E29" s="133">
        <v>1917</v>
      </c>
      <c r="F29" s="202">
        <v>4.5</v>
      </c>
      <c r="G29" s="135"/>
      <c r="H29" s="135"/>
    </row>
    <row r="30" spans="1:8" s="136" customFormat="1" ht="13.9" customHeight="1">
      <c r="A30" s="132"/>
      <c r="B30" s="132"/>
      <c r="C30" s="133"/>
      <c r="D30" s="134"/>
      <c r="E30" s="137"/>
      <c r="F30" s="201"/>
      <c r="G30" s="135"/>
      <c r="H30" s="135"/>
    </row>
    <row r="31" spans="1:8" s="136" customFormat="1" ht="13.9" customHeight="1">
      <c r="A31" s="132" t="s">
        <v>147</v>
      </c>
      <c r="B31" s="132" t="s">
        <v>94</v>
      </c>
      <c r="C31" s="133" t="s">
        <v>148</v>
      </c>
      <c r="D31" s="134" t="s">
        <v>132</v>
      </c>
      <c r="E31" s="137">
        <v>2011</v>
      </c>
      <c r="F31" s="201">
        <v>150</v>
      </c>
      <c r="G31" s="139"/>
      <c r="H31" s="135"/>
    </row>
    <row r="32" spans="1:8" s="136" customFormat="1" ht="13.9" customHeight="1">
      <c r="A32" s="132" t="s">
        <v>147</v>
      </c>
      <c r="B32" s="132" t="s">
        <v>149</v>
      </c>
      <c r="C32" s="133" t="s">
        <v>150</v>
      </c>
      <c r="D32" s="134" t="s">
        <v>137</v>
      </c>
      <c r="E32" s="137">
        <v>2012</v>
      </c>
      <c r="F32" s="201">
        <v>40</v>
      </c>
      <c r="G32" s="332"/>
      <c r="H32" s="135"/>
    </row>
    <row r="33" spans="1:8" s="136" customFormat="1" ht="13.9" customHeight="1">
      <c r="A33" s="132" t="s">
        <v>147</v>
      </c>
      <c r="B33" s="132" t="s">
        <v>183</v>
      </c>
      <c r="C33" s="133" t="s">
        <v>184</v>
      </c>
      <c r="D33" s="134" t="s">
        <v>128</v>
      </c>
      <c r="E33" s="133">
        <v>1927</v>
      </c>
      <c r="F33" s="201">
        <v>20.9</v>
      </c>
      <c r="G33" s="332"/>
      <c r="H33" s="135"/>
    </row>
    <row r="34" spans="1:8" s="136" customFormat="1" ht="13.9" customHeight="1">
      <c r="A34" s="132" t="s">
        <v>147</v>
      </c>
      <c r="B34" s="132" t="s">
        <v>185</v>
      </c>
      <c r="C34" s="133" t="s">
        <v>184</v>
      </c>
      <c r="D34" s="134" t="s">
        <v>128</v>
      </c>
      <c r="E34" s="137">
        <v>1958</v>
      </c>
      <c r="F34" s="201">
        <v>62</v>
      </c>
      <c r="G34" s="332"/>
      <c r="H34" s="135"/>
    </row>
    <row r="35" spans="1:8" s="136" customFormat="1" ht="13.9" customHeight="1">
      <c r="A35" s="132" t="s">
        <v>147</v>
      </c>
      <c r="B35" s="132" t="s">
        <v>194</v>
      </c>
      <c r="C35" s="133" t="s">
        <v>89</v>
      </c>
      <c r="D35" s="134" t="s">
        <v>128</v>
      </c>
      <c r="E35" s="137">
        <v>1911</v>
      </c>
      <c r="F35" s="201">
        <v>18.3</v>
      </c>
      <c r="G35" s="332"/>
      <c r="H35" s="135"/>
    </row>
    <row r="36" spans="1:8" s="136" customFormat="1" ht="13.9" customHeight="1">
      <c r="A36" s="132" t="s">
        <v>147</v>
      </c>
      <c r="B36" s="132" t="s">
        <v>195</v>
      </c>
      <c r="C36" s="133" t="s">
        <v>89</v>
      </c>
      <c r="D36" s="134" t="s">
        <v>128</v>
      </c>
      <c r="E36" s="133">
        <v>1918</v>
      </c>
      <c r="F36" s="201">
        <v>53</v>
      </c>
      <c r="G36" s="332"/>
      <c r="H36" s="135"/>
    </row>
    <row r="37" spans="1:8" s="136" customFormat="1" ht="13.9" customHeight="1">
      <c r="A37" s="132" t="s">
        <v>147</v>
      </c>
      <c r="B37" s="132" t="s">
        <v>196</v>
      </c>
      <c r="C37" s="133" t="s">
        <v>101</v>
      </c>
      <c r="D37" s="134" t="s">
        <v>128</v>
      </c>
      <c r="E37" s="133">
        <v>1906</v>
      </c>
      <c r="F37" s="201">
        <v>8</v>
      </c>
      <c r="G37" s="332"/>
      <c r="H37" s="135"/>
    </row>
    <row r="38" spans="1:8" s="136" customFormat="1" ht="13.9" customHeight="1">
      <c r="A38" s="132" t="s">
        <v>147</v>
      </c>
      <c r="B38" s="132" t="s">
        <v>197</v>
      </c>
      <c r="C38" s="133" t="s">
        <v>184</v>
      </c>
      <c r="D38" s="134" t="s">
        <v>128</v>
      </c>
      <c r="E38" s="133">
        <v>1930</v>
      </c>
      <c r="F38" s="201">
        <v>49</v>
      </c>
      <c r="G38" s="332"/>
      <c r="H38" s="135"/>
    </row>
    <row r="39" spans="1:8" s="136" customFormat="1" ht="13.9" customHeight="1">
      <c r="A39" s="132" t="s">
        <v>147</v>
      </c>
      <c r="B39" s="132" t="s">
        <v>198</v>
      </c>
      <c r="C39" s="133" t="s">
        <v>199</v>
      </c>
      <c r="D39" s="134" t="s">
        <v>128</v>
      </c>
      <c r="E39" s="133">
        <v>1925</v>
      </c>
      <c r="F39" s="201">
        <v>12</v>
      </c>
      <c r="G39" s="332"/>
      <c r="H39" s="135"/>
    </row>
    <row r="40" spans="1:8" s="136" customFormat="1" ht="13.9" customHeight="1">
      <c r="A40" s="132" t="s">
        <v>147</v>
      </c>
      <c r="B40" s="132" t="s">
        <v>200</v>
      </c>
      <c r="C40" s="133" t="s">
        <v>184</v>
      </c>
      <c r="D40" s="134" t="s">
        <v>128</v>
      </c>
      <c r="E40" s="133">
        <v>1910</v>
      </c>
      <c r="F40" s="201">
        <v>64</v>
      </c>
      <c r="G40" s="332"/>
      <c r="H40" s="135"/>
    </row>
    <row r="41" spans="1:8" s="136" customFormat="1" ht="13.9" customHeight="1">
      <c r="A41" s="132" t="s">
        <v>147</v>
      </c>
      <c r="B41" s="132" t="s">
        <v>201</v>
      </c>
      <c r="C41" s="133" t="s">
        <v>184</v>
      </c>
      <c r="D41" s="134" t="s">
        <v>128</v>
      </c>
      <c r="E41" s="133">
        <v>1915</v>
      </c>
      <c r="F41" s="201">
        <v>68</v>
      </c>
      <c r="G41" s="332"/>
      <c r="H41" s="135"/>
    </row>
    <row r="42" spans="1:8" s="136" customFormat="1" ht="13.9" customHeight="1">
      <c r="A42" s="132" t="s">
        <v>147</v>
      </c>
      <c r="B42" s="132" t="s">
        <v>202</v>
      </c>
      <c r="C42" s="133" t="s">
        <v>127</v>
      </c>
      <c r="D42" s="134" t="s">
        <v>128</v>
      </c>
      <c r="E42" s="137">
        <v>1915</v>
      </c>
      <c r="F42" s="201">
        <v>94</v>
      </c>
      <c r="G42" s="332"/>
      <c r="H42" s="135"/>
    </row>
    <row r="43" spans="1:8" s="136" customFormat="1" ht="13.9" customHeight="1">
      <c r="A43" s="132" t="s">
        <v>147</v>
      </c>
      <c r="B43" s="132" t="s">
        <v>220</v>
      </c>
      <c r="C43" s="133" t="s">
        <v>156</v>
      </c>
      <c r="D43" s="134" t="s">
        <v>137</v>
      </c>
      <c r="E43" s="137">
        <v>2014</v>
      </c>
      <c r="F43" s="201">
        <v>11.3</v>
      </c>
      <c r="G43" s="332"/>
      <c r="H43" s="135"/>
    </row>
    <row r="44" spans="1:8" s="136" customFormat="1" ht="13.9" customHeight="1">
      <c r="A44" s="132" t="s">
        <v>147</v>
      </c>
      <c r="B44" s="132" t="s">
        <v>576</v>
      </c>
      <c r="C44" s="133" t="s">
        <v>57</v>
      </c>
      <c r="D44" s="308" t="s">
        <v>132</v>
      </c>
      <c r="E44" s="137">
        <v>2024</v>
      </c>
      <c r="F44" s="201">
        <v>175</v>
      </c>
      <c r="G44" s="332"/>
      <c r="H44" s="135"/>
    </row>
    <row r="45" spans="1:8" s="136" customFormat="1" ht="13.9" customHeight="1">
      <c r="A45" s="132" t="s">
        <v>151</v>
      </c>
      <c r="B45" s="140" t="s">
        <v>152</v>
      </c>
      <c r="C45" s="133" t="s">
        <v>153</v>
      </c>
      <c r="D45" s="141" t="s">
        <v>132</v>
      </c>
      <c r="E45" s="133">
        <v>2006</v>
      </c>
      <c r="F45" s="201">
        <v>52</v>
      </c>
      <c r="G45" s="135"/>
      <c r="H45" s="135"/>
    </row>
    <row r="46" spans="1:8" s="136" customFormat="1" ht="13.9" customHeight="1">
      <c r="A46" s="140" t="s">
        <v>154</v>
      </c>
      <c r="B46" s="140" t="s">
        <v>155</v>
      </c>
      <c r="C46" s="142" t="s">
        <v>156</v>
      </c>
      <c r="D46" s="141" t="s">
        <v>137</v>
      </c>
      <c r="E46" s="133">
        <v>2005</v>
      </c>
      <c r="F46" s="201">
        <v>135</v>
      </c>
      <c r="G46" s="135"/>
      <c r="H46" s="135"/>
    </row>
    <row r="47" spans="1:8" s="136" customFormat="1" ht="13.9" customHeight="1">
      <c r="A47" s="132" t="s">
        <v>159</v>
      </c>
      <c r="B47" s="132" t="s">
        <v>241</v>
      </c>
      <c r="C47" s="133" t="s">
        <v>160</v>
      </c>
      <c r="D47" s="134" t="s">
        <v>128</v>
      </c>
      <c r="E47" s="137">
        <v>2011</v>
      </c>
      <c r="F47" s="201">
        <v>13</v>
      </c>
      <c r="G47" s="135"/>
      <c r="H47" s="135"/>
    </row>
    <row r="48" spans="1:8" s="136" customFormat="1" ht="13.9" customHeight="1">
      <c r="A48" s="132" t="s">
        <v>161</v>
      </c>
      <c r="B48" s="132" t="s">
        <v>162</v>
      </c>
      <c r="C48" s="133" t="s">
        <v>163</v>
      </c>
      <c r="D48" s="134" t="s">
        <v>164</v>
      </c>
      <c r="E48" s="133">
        <v>1990</v>
      </c>
      <c r="F48" s="201">
        <v>35</v>
      </c>
      <c r="G48" s="135"/>
      <c r="H48" s="195"/>
    </row>
    <row r="49" spans="1:8" s="136" customFormat="1" ht="13.9" customHeight="1">
      <c r="A49" s="132" t="s">
        <v>165</v>
      </c>
      <c r="B49" s="138" t="s">
        <v>278</v>
      </c>
      <c r="C49" s="133" t="s">
        <v>166</v>
      </c>
      <c r="D49" s="134" t="s">
        <v>128</v>
      </c>
      <c r="E49" s="137">
        <v>2013</v>
      </c>
      <c r="F49" s="202">
        <v>2</v>
      </c>
      <c r="G49" s="135"/>
      <c r="H49" s="195"/>
    </row>
    <row r="50" spans="1:8" s="136" customFormat="1" ht="13.9" customHeight="1">
      <c r="A50" s="132" t="s">
        <v>167</v>
      </c>
      <c r="B50" s="132" t="s">
        <v>242</v>
      </c>
      <c r="C50" s="133" t="s">
        <v>168</v>
      </c>
      <c r="D50" s="134" t="s">
        <v>128</v>
      </c>
      <c r="E50" s="137">
        <v>1985</v>
      </c>
      <c r="F50" s="201">
        <v>1.2</v>
      </c>
      <c r="G50" s="135"/>
      <c r="H50" s="135"/>
    </row>
    <row r="51" spans="1:8" s="136" customFormat="1" ht="13.9" customHeight="1">
      <c r="A51" s="132" t="s">
        <v>169</v>
      </c>
      <c r="B51" s="132" t="s">
        <v>170</v>
      </c>
      <c r="C51" s="133" t="s">
        <v>170</v>
      </c>
      <c r="D51" s="134" t="s">
        <v>128</v>
      </c>
      <c r="E51" s="133">
        <v>1989</v>
      </c>
      <c r="F51" s="202">
        <v>10</v>
      </c>
      <c r="G51" s="139"/>
      <c r="H51" s="139"/>
    </row>
    <row r="52" spans="1:8" s="136" customFormat="1" ht="13.9" customHeight="1">
      <c r="A52" s="140" t="s">
        <v>303</v>
      </c>
      <c r="B52" s="140" t="s">
        <v>171</v>
      </c>
      <c r="C52" s="142" t="s">
        <v>156</v>
      </c>
      <c r="D52" s="141" t="s">
        <v>137</v>
      </c>
      <c r="E52" s="133">
        <v>2013</v>
      </c>
      <c r="F52" s="201">
        <v>20</v>
      </c>
      <c r="G52" s="135"/>
      <c r="H52" s="195"/>
    </row>
    <row r="53" spans="1:8" s="136" customFormat="1" ht="13.9" customHeight="1">
      <c r="A53" s="132" t="s">
        <v>60</v>
      </c>
      <c r="B53" s="132" t="s">
        <v>280</v>
      </c>
      <c r="C53" s="133" t="s">
        <v>172</v>
      </c>
      <c r="D53" s="134" t="s">
        <v>128</v>
      </c>
      <c r="E53" s="137" t="s">
        <v>172</v>
      </c>
      <c r="F53" s="202">
        <v>3.2</v>
      </c>
      <c r="G53" s="135"/>
      <c r="H53" s="135"/>
    </row>
    <row r="54" spans="1:8" s="136" customFormat="1" ht="13.9" customHeight="1">
      <c r="A54" s="132" t="s">
        <v>173</v>
      </c>
      <c r="B54" s="132" t="s">
        <v>174</v>
      </c>
      <c r="C54" s="133" t="s">
        <v>175</v>
      </c>
      <c r="D54" s="134" t="s">
        <v>137</v>
      </c>
      <c r="E54" s="137">
        <v>2012</v>
      </c>
      <c r="F54" s="202">
        <v>9.6</v>
      </c>
      <c r="G54" s="139"/>
      <c r="H54" s="139"/>
    </row>
    <row r="55" spans="1:8" s="136" customFormat="1" ht="13.9" customHeight="1">
      <c r="A55" s="132" t="s">
        <v>306</v>
      </c>
      <c r="B55" s="132" t="s">
        <v>298</v>
      </c>
      <c r="C55" s="133" t="s">
        <v>175</v>
      </c>
      <c r="D55" s="308" t="s">
        <v>137</v>
      </c>
      <c r="E55" s="137">
        <v>2018</v>
      </c>
      <c r="F55" s="202">
        <v>2.7</v>
      </c>
      <c r="G55" s="139"/>
      <c r="H55" s="139"/>
    </row>
    <row r="56" spans="1:8" s="136" customFormat="1" ht="13.9" customHeight="1">
      <c r="A56" s="132" t="s">
        <v>305</v>
      </c>
      <c r="B56" s="132" t="s">
        <v>299</v>
      </c>
      <c r="C56" s="133" t="s">
        <v>175</v>
      </c>
      <c r="D56" s="308" t="s">
        <v>137</v>
      </c>
      <c r="E56" s="137">
        <v>2018</v>
      </c>
      <c r="F56" s="202">
        <v>2.7</v>
      </c>
      <c r="G56" s="139"/>
      <c r="H56" s="139"/>
    </row>
    <row r="57" spans="1:8" s="136" customFormat="1" ht="13.9" customHeight="1">
      <c r="A57" s="132" t="s">
        <v>300</v>
      </c>
      <c r="B57" s="132" t="s">
        <v>301</v>
      </c>
      <c r="C57" s="133" t="s">
        <v>57</v>
      </c>
      <c r="D57" s="308" t="s">
        <v>137</v>
      </c>
      <c r="E57" s="137">
        <v>2018</v>
      </c>
      <c r="F57" s="202">
        <v>1.6</v>
      </c>
      <c r="G57" s="139"/>
      <c r="H57" s="139"/>
    </row>
    <row r="58" spans="1:8" s="136" customFormat="1" ht="13.9" customHeight="1">
      <c r="A58" s="132" t="s">
        <v>302</v>
      </c>
      <c r="B58" s="132" t="s">
        <v>304</v>
      </c>
      <c r="C58" s="133" t="s">
        <v>175</v>
      </c>
      <c r="D58" s="308" t="s">
        <v>137</v>
      </c>
      <c r="E58" s="137">
        <v>2018</v>
      </c>
      <c r="F58" s="202">
        <v>2.7</v>
      </c>
      <c r="G58" s="139"/>
      <c r="H58" s="139"/>
    </row>
    <row r="59" spans="1:8" s="136" customFormat="1" ht="13.9" customHeight="1">
      <c r="A59" s="132" t="s">
        <v>176</v>
      </c>
      <c r="B59" s="132" t="s">
        <v>177</v>
      </c>
      <c r="C59" s="133" t="s">
        <v>57</v>
      </c>
      <c r="D59" s="134" t="s">
        <v>178</v>
      </c>
      <c r="E59" s="137">
        <v>1995</v>
      </c>
      <c r="F59" s="201">
        <v>52</v>
      </c>
      <c r="G59" s="139"/>
      <c r="H59" s="139"/>
    </row>
    <row r="60" spans="1:8" s="136" customFormat="1" ht="13.9" customHeight="1">
      <c r="A60" s="132" t="s">
        <v>243</v>
      </c>
      <c r="B60" s="132" t="s">
        <v>221</v>
      </c>
      <c r="C60" s="133" t="s">
        <v>160</v>
      </c>
      <c r="D60" s="134" t="s">
        <v>137</v>
      </c>
      <c r="E60" s="137">
        <v>2014</v>
      </c>
      <c r="F60" s="201">
        <v>10</v>
      </c>
      <c r="G60" s="135"/>
      <c r="H60" s="135"/>
    </row>
    <row r="61" spans="1:8" s="136" customFormat="1" ht="13.9" customHeight="1">
      <c r="A61" s="132" t="s">
        <v>243</v>
      </c>
      <c r="B61" s="132" t="s">
        <v>244</v>
      </c>
      <c r="C61" s="133" t="s">
        <v>160</v>
      </c>
      <c r="D61" s="134" t="s">
        <v>137</v>
      </c>
      <c r="E61" s="137">
        <v>2016</v>
      </c>
      <c r="F61" s="201">
        <v>25</v>
      </c>
      <c r="G61" s="135"/>
      <c r="H61" s="135"/>
    </row>
    <row r="62" spans="1:8" s="136" customFormat="1" ht="13.9" customHeight="1">
      <c r="A62" s="132" t="s">
        <v>272</v>
      </c>
      <c r="B62" s="132" t="s">
        <v>273</v>
      </c>
      <c r="C62" s="133" t="s">
        <v>269</v>
      </c>
      <c r="D62" s="134" t="s">
        <v>137</v>
      </c>
      <c r="E62" s="137">
        <v>2017</v>
      </c>
      <c r="F62" s="201">
        <v>25</v>
      </c>
      <c r="G62" s="135"/>
      <c r="H62" s="135"/>
    </row>
    <row r="63" spans="1:8" s="136" customFormat="1" ht="13.9" customHeight="1">
      <c r="A63" s="132" t="s">
        <v>323</v>
      </c>
      <c r="B63" s="132" t="s">
        <v>199</v>
      </c>
      <c r="C63" s="133" t="s">
        <v>199</v>
      </c>
      <c r="D63" s="308" t="s">
        <v>137</v>
      </c>
      <c r="E63" s="137">
        <v>2018</v>
      </c>
      <c r="F63" s="201">
        <v>80</v>
      </c>
      <c r="G63" s="135"/>
      <c r="H63" s="135"/>
    </row>
    <row r="64" spans="1:8" s="136" customFormat="1" ht="13.9" customHeight="1">
      <c r="A64" s="132" t="s">
        <v>413</v>
      </c>
      <c r="B64" s="132" t="s">
        <v>414</v>
      </c>
      <c r="C64" s="133" t="s">
        <v>184</v>
      </c>
      <c r="D64" s="308" t="s">
        <v>137</v>
      </c>
      <c r="E64" s="137">
        <v>2006</v>
      </c>
      <c r="F64" s="202">
        <v>9</v>
      </c>
      <c r="G64" s="135"/>
      <c r="H64" s="135"/>
    </row>
    <row r="65" spans="1:8" s="136" customFormat="1" ht="13.9" customHeight="1">
      <c r="A65" s="132" t="s">
        <v>318</v>
      </c>
      <c r="B65" s="132" t="s">
        <v>317</v>
      </c>
      <c r="C65" s="133" t="s">
        <v>150</v>
      </c>
      <c r="D65" s="308" t="s">
        <v>137</v>
      </c>
      <c r="E65" s="137">
        <v>2020</v>
      </c>
      <c r="F65" s="202">
        <v>80</v>
      </c>
      <c r="G65" s="135"/>
      <c r="H65" s="135"/>
    </row>
    <row r="66" spans="1:8" s="136" customFormat="1" ht="13.9" customHeight="1">
      <c r="A66" s="128" t="s">
        <v>445</v>
      </c>
      <c r="B66" s="128" t="s">
        <v>442</v>
      </c>
      <c r="C66" s="133" t="s">
        <v>443</v>
      </c>
      <c r="D66" s="402" t="s">
        <v>271</v>
      </c>
      <c r="E66" s="130">
        <v>2023</v>
      </c>
      <c r="F66" s="200">
        <v>80</v>
      </c>
      <c r="G66" s="135"/>
      <c r="H66" s="135"/>
    </row>
    <row r="67" spans="1:8" s="136" customFormat="1" ht="13.9" customHeight="1">
      <c r="A67" s="132" t="s">
        <v>243</v>
      </c>
      <c r="B67" s="132" t="s">
        <v>421</v>
      </c>
      <c r="C67" s="133" t="s">
        <v>57</v>
      </c>
      <c r="D67" s="308" t="s">
        <v>271</v>
      </c>
      <c r="E67" s="137">
        <v>2022</v>
      </c>
      <c r="F67" s="202">
        <v>80</v>
      </c>
      <c r="G67" s="135"/>
      <c r="H67" s="135"/>
    </row>
    <row r="68" spans="1:8" s="136" customFormat="1" ht="13.9" customHeight="1">
      <c r="A68" s="132" t="s">
        <v>262</v>
      </c>
      <c r="B68" s="132" t="s">
        <v>263</v>
      </c>
      <c r="C68" s="133" t="s">
        <v>89</v>
      </c>
      <c r="D68" s="134" t="s">
        <v>271</v>
      </c>
      <c r="E68" s="137">
        <v>2017</v>
      </c>
      <c r="F68" s="201">
        <v>3</v>
      </c>
      <c r="G68" s="135"/>
      <c r="H68" s="135"/>
    </row>
    <row r="69" spans="1:8" s="136" customFormat="1" ht="13.9" customHeight="1">
      <c r="A69" s="132" t="s">
        <v>262</v>
      </c>
      <c r="B69" s="132" t="s">
        <v>264</v>
      </c>
      <c r="C69" s="133" t="s">
        <v>269</v>
      </c>
      <c r="D69" s="134" t="s">
        <v>271</v>
      </c>
      <c r="E69" s="137">
        <v>2017</v>
      </c>
      <c r="F69" s="201">
        <v>2</v>
      </c>
      <c r="G69" s="135"/>
      <c r="H69" s="135"/>
    </row>
    <row r="70" spans="1:8" s="136" customFormat="1" ht="13.9" customHeight="1">
      <c r="A70" s="132" t="s">
        <v>262</v>
      </c>
      <c r="B70" s="132" t="s">
        <v>265</v>
      </c>
      <c r="C70" s="133" t="s">
        <v>203</v>
      </c>
      <c r="D70" s="134" t="s">
        <v>271</v>
      </c>
      <c r="E70" s="137">
        <v>2017</v>
      </c>
      <c r="F70" s="201">
        <v>3</v>
      </c>
      <c r="G70" s="135"/>
      <c r="H70" s="135"/>
    </row>
    <row r="71" spans="1:8" s="136" customFormat="1" ht="13.9" customHeight="1">
      <c r="A71" s="132" t="s">
        <v>262</v>
      </c>
      <c r="B71" s="132" t="s">
        <v>266</v>
      </c>
      <c r="C71" s="133" t="s">
        <v>89</v>
      </c>
      <c r="D71" s="134" t="s">
        <v>271</v>
      </c>
      <c r="E71" s="137">
        <v>2017</v>
      </c>
      <c r="F71" s="201">
        <v>3</v>
      </c>
      <c r="G71" s="135"/>
      <c r="H71" s="135"/>
    </row>
    <row r="72" spans="1:8" s="136" customFormat="1" ht="13.9" customHeight="1">
      <c r="A72" s="132" t="s">
        <v>262</v>
      </c>
      <c r="B72" s="132" t="s">
        <v>267</v>
      </c>
      <c r="C72" s="133" t="s">
        <v>270</v>
      </c>
      <c r="D72" s="134" t="s">
        <v>271</v>
      </c>
      <c r="E72" s="137">
        <v>2017</v>
      </c>
      <c r="F72" s="201">
        <v>3</v>
      </c>
      <c r="G72" s="135"/>
      <c r="H72" s="135"/>
    </row>
    <row r="73" spans="1:8" s="136" customFormat="1" ht="13.9" customHeight="1">
      <c r="A73" s="132" t="s">
        <v>262</v>
      </c>
      <c r="B73" s="132" t="s">
        <v>268</v>
      </c>
      <c r="C73" s="133" t="s">
        <v>184</v>
      </c>
      <c r="D73" s="134" t="s">
        <v>271</v>
      </c>
      <c r="E73" s="137">
        <v>2017</v>
      </c>
      <c r="F73" s="201">
        <v>3</v>
      </c>
      <c r="G73" s="135"/>
      <c r="H73" s="135"/>
    </row>
    <row r="74" spans="1:8" s="136" customFormat="1" ht="13.9" customHeight="1">
      <c r="A74" s="132"/>
      <c r="B74" s="132"/>
      <c r="C74" s="133"/>
      <c r="D74" s="134"/>
      <c r="E74" s="137"/>
      <c r="F74" s="202"/>
      <c r="G74" s="139"/>
      <c r="H74" s="139"/>
    </row>
    <row r="75" spans="1:8" s="136" customFormat="1" ht="13.9" customHeight="1">
      <c r="A75" s="132" t="s">
        <v>179</v>
      </c>
      <c r="B75" s="132" t="s">
        <v>180</v>
      </c>
      <c r="C75" s="133" t="s">
        <v>131</v>
      </c>
      <c r="D75" s="134" t="s">
        <v>181</v>
      </c>
      <c r="E75" s="137">
        <v>2010</v>
      </c>
      <c r="F75" s="201">
        <v>5.5</v>
      </c>
      <c r="G75" s="135"/>
      <c r="H75" s="135"/>
    </row>
    <row r="76" spans="1:8" s="136" customFormat="1" ht="13.9" customHeight="1">
      <c r="A76" s="132"/>
      <c r="B76" s="132"/>
      <c r="C76" s="133"/>
      <c r="D76" s="134"/>
      <c r="E76" s="137"/>
      <c r="F76" s="201"/>
      <c r="G76" s="135"/>
      <c r="H76" s="135"/>
    </row>
    <row r="77" spans="1:8" s="136" customFormat="1" ht="13.9" customHeight="1">
      <c r="A77" s="132" t="s">
        <v>67</v>
      </c>
      <c r="B77" s="132" t="s">
        <v>182</v>
      </c>
      <c r="C77" s="133" t="s">
        <v>133</v>
      </c>
      <c r="D77" s="134" t="s">
        <v>128</v>
      </c>
      <c r="E77" s="137">
        <v>1910</v>
      </c>
      <c r="F77" s="201">
        <v>4.0999999999999996</v>
      </c>
      <c r="G77" s="135"/>
      <c r="H77" s="135"/>
    </row>
    <row r="78" spans="1:8" s="136" customFormat="1" ht="13.9" customHeight="1">
      <c r="A78" s="132" t="s">
        <v>67</v>
      </c>
      <c r="B78" s="132" t="s">
        <v>406</v>
      </c>
      <c r="C78" s="133" t="s">
        <v>168</v>
      </c>
      <c r="D78" s="308" t="s">
        <v>137</v>
      </c>
      <c r="E78" s="137">
        <v>2022</v>
      </c>
      <c r="F78" s="201">
        <v>240</v>
      </c>
      <c r="G78" s="135"/>
      <c r="H78" s="135"/>
    </row>
    <row r="79" spans="1:8" s="136" customFormat="1" ht="13.9" customHeight="1">
      <c r="A79" s="132"/>
      <c r="B79" s="132"/>
      <c r="C79" s="133"/>
      <c r="D79" s="134"/>
      <c r="E79" s="137"/>
      <c r="F79" s="201"/>
      <c r="G79" s="135"/>
      <c r="H79" s="135"/>
    </row>
    <row r="80" spans="1:8" s="136" customFormat="1" ht="13.9" customHeight="1">
      <c r="A80" s="190" t="s">
        <v>371</v>
      </c>
      <c r="B80" s="132"/>
      <c r="C80" s="133"/>
      <c r="D80" s="134"/>
      <c r="E80" s="137"/>
      <c r="F80" s="201"/>
      <c r="G80" s="135"/>
      <c r="H80" s="135"/>
    </row>
    <row r="81" spans="1:8" s="136" customFormat="1" ht="15">
      <c r="A81" s="132" t="s">
        <v>370</v>
      </c>
      <c r="B81" s="132" t="s">
        <v>187</v>
      </c>
      <c r="C81" s="133" t="s">
        <v>163</v>
      </c>
      <c r="D81" s="134" t="s">
        <v>186</v>
      </c>
      <c r="E81" s="137">
        <v>1984</v>
      </c>
      <c r="F81" s="201">
        <v>740</v>
      </c>
      <c r="G81" s="135"/>
      <c r="H81" s="135"/>
    </row>
    <row r="82" spans="1:8" s="136" customFormat="1" ht="15">
      <c r="A82" s="132" t="s">
        <v>188</v>
      </c>
      <c r="B82" s="132"/>
      <c r="C82" s="133"/>
      <c r="D82" s="134"/>
      <c r="E82" s="137"/>
      <c r="F82" s="202"/>
      <c r="G82" s="139"/>
      <c r="H82" s="135"/>
    </row>
    <row r="83" spans="1:8" s="136" customFormat="1" ht="13.9" customHeight="1">
      <c r="A83" s="132" t="s">
        <v>189</v>
      </c>
      <c r="B83" s="132"/>
      <c r="C83" s="133"/>
      <c r="D83" s="143"/>
      <c r="E83" s="144"/>
      <c r="F83" s="203"/>
      <c r="G83" s="145"/>
      <c r="H83" s="135"/>
    </row>
    <row r="84" spans="1:8" s="136" customFormat="1" ht="13.9" customHeight="1">
      <c r="A84" s="132" t="s">
        <v>190</v>
      </c>
      <c r="B84" s="132"/>
      <c r="C84" s="133"/>
      <c r="D84" s="143"/>
      <c r="E84" s="144"/>
      <c r="F84" s="203"/>
      <c r="G84" s="145"/>
      <c r="H84" s="135"/>
    </row>
    <row r="85" spans="1:8" s="136" customFormat="1" ht="13.9" customHeight="1">
      <c r="A85" s="132" t="s">
        <v>234</v>
      </c>
      <c r="B85" s="132" t="s">
        <v>191</v>
      </c>
      <c r="C85" s="133" t="s">
        <v>163</v>
      </c>
      <c r="D85" s="134" t="s">
        <v>186</v>
      </c>
      <c r="E85" s="137">
        <v>1986</v>
      </c>
      <c r="F85" s="201">
        <v>740</v>
      </c>
      <c r="G85" s="135"/>
      <c r="H85" s="135"/>
    </row>
    <row r="86" spans="1:8" s="136" customFormat="1" ht="13.9" customHeight="1">
      <c r="A86" s="132" t="s">
        <v>192</v>
      </c>
      <c r="B86" s="132"/>
      <c r="C86" s="133"/>
      <c r="D86" s="143"/>
      <c r="E86" s="144"/>
      <c r="F86" s="203"/>
      <c r="G86" s="145"/>
      <c r="H86" s="135"/>
    </row>
    <row r="87" spans="1:8" s="136" customFormat="1" ht="13.9" customHeight="1">
      <c r="A87" s="132" t="s">
        <v>190</v>
      </c>
      <c r="B87" s="132"/>
      <c r="C87" s="133"/>
      <c r="D87" s="143"/>
      <c r="E87" s="144"/>
      <c r="F87" s="203"/>
      <c r="G87" s="145"/>
      <c r="H87" s="135"/>
    </row>
    <row r="88" spans="1:8" s="136" customFormat="1" ht="13.9" customHeight="1">
      <c r="A88" s="132" t="s">
        <v>193</v>
      </c>
      <c r="B88" s="132"/>
      <c r="C88" s="133"/>
      <c r="D88" s="143"/>
      <c r="E88" s="144"/>
      <c r="F88" s="203"/>
      <c r="G88" s="145"/>
      <c r="H88" s="135"/>
    </row>
    <row r="89" spans="1:8" ht="13.9" customHeight="1">
      <c r="A89" s="132"/>
      <c r="B89" s="132"/>
      <c r="C89" s="133"/>
      <c r="D89" s="134"/>
      <c r="E89" s="133"/>
      <c r="F89" s="201"/>
    </row>
    <row r="90" spans="1:8" s="136" customFormat="1" ht="16.149999999999999" customHeight="1">
      <c r="A90" s="132" t="s">
        <v>248</v>
      </c>
      <c r="B90" s="132" t="s">
        <v>233</v>
      </c>
      <c r="C90" s="133" t="s">
        <v>135</v>
      </c>
      <c r="D90" s="134" t="s">
        <v>128</v>
      </c>
      <c r="E90" s="133">
        <v>1938</v>
      </c>
      <c r="F90" s="201">
        <v>208</v>
      </c>
      <c r="G90" s="135"/>
      <c r="H90" s="135"/>
    </row>
    <row r="91" spans="1:8" s="136" customFormat="1" ht="16.149999999999999" customHeight="1">
      <c r="A91" s="132"/>
      <c r="B91" s="132"/>
      <c r="C91" s="133"/>
      <c r="D91" s="308"/>
      <c r="E91" s="133"/>
      <c r="F91" s="201"/>
      <c r="G91" s="135"/>
      <c r="H91" s="135"/>
    </row>
    <row r="92" spans="1:8" s="136" customFormat="1" ht="13.9" customHeight="1">
      <c r="A92" s="132" t="s">
        <v>575</v>
      </c>
      <c r="B92" s="132" t="s">
        <v>157</v>
      </c>
      <c r="C92" s="133" t="s">
        <v>158</v>
      </c>
      <c r="D92" s="134" t="s">
        <v>128</v>
      </c>
      <c r="E92" s="137">
        <v>2004</v>
      </c>
      <c r="F92" s="201">
        <v>7.5</v>
      </c>
      <c r="G92" s="135"/>
      <c r="H92" s="135"/>
    </row>
    <row r="93" spans="1:8" s="136" customFormat="1" ht="13.9" customHeight="1">
      <c r="A93" s="132"/>
      <c r="B93" s="132"/>
      <c r="C93" s="133"/>
      <c r="D93" s="134"/>
      <c r="E93" s="137"/>
      <c r="F93" s="201"/>
      <c r="G93" s="139"/>
      <c r="H93" s="139"/>
    </row>
    <row r="94" spans="1:8" s="136" customFormat="1" ht="13.9" customHeight="1">
      <c r="A94" s="132" t="s">
        <v>204</v>
      </c>
      <c r="B94" s="132" t="s">
        <v>205</v>
      </c>
      <c r="C94" s="133" t="s">
        <v>89</v>
      </c>
      <c r="D94" s="134" t="s">
        <v>128</v>
      </c>
      <c r="E94" s="137">
        <v>1953</v>
      </c>
      <c r="F94" s="202">
        <v>49.8</v>
      </c>
      <c r="G94" s="135"/>
      <c r="H94" s="135"/>
    </row>
    <row r="95" spans="1:8" s="136" customFormat="1" ht="13.9" customHeight="1">
      <c r="A95" s="132" t="s">
        <v>204</v>
      </c>
      <c r="B95" s="132" t="s">
        <v>206</v>
      </c>
      <c r="C95" s="133" t="s">
        <v>203</v>
      </c>
      <c r="D95" s="134" t="s">
        <v>128</v>
      </c>
      <c r="E95" s="133">
        <v>1966</v>
      </c>
      <c r="F95" s="202">
        <v>250</v>
      </c>
      <c r="G95" s="139"/>
      <c r="H95" s="139"/>
    </row>
    <row r="96" spans="1:8" s="136" customFormat="1" ht="13.9" customHeight="1">
      <c r="A96" s="132" t="s">
        <v>207</v>
      </c>
      <c r="B96" s="132" t="s">
        <v>208</v>
      </c>
      <c r="C96" s="133" t="s">
        <v>133</v>
      </c>
      <c r="D96" s="134" t="s">
        <v>128</v>
      </c>
      <c r="E96" s="133">
        <v>1952</v>
      </c>
      <c r="F96" s="201">
        <v>428</v>
      </c>
      <c r="G96" s="139"/>
      <c r="H96" s="139"/>
    </row>
    <row r="97" spans="1:8" s="136" customFormat="1" ht="13.9" customHeight="1">
      <c r="A97" s="132"/>
      <c r="B97" s="132"/>
      <c r="C97" s="133"/>
      <c r="D97" s="134"/>
      <c r="E97" s="137"/>
      <c r="F97" s="201"/>
      <c r="G97" s="139"/>
      <c r="H97" s="139"/>
    </row>
    <row r="98" spans="1:8" s="136" customFormat="1" ht="13.9" customHeight="1">
      <c r="A98" s="146" t="s">
        <v>209</v>
      </c>
      <c r="B98" s="132" t="s">
        <v>281</v>
      </c>
      <c r="C98" s="133" t="s">
        <v>210</v>
      </c>
      <c r="D98" s="134" t="s">
        <v>128</v>
      </c>
      <c r="E98" s="133">
        <v>1943</v>
      </c>
      <c r="F98" s="202">
        <v>185.3</v>
      </c>
      <c r="G98" s="139"/>
      <c r="H98" s="139"/>
    </row>
    <row r="99" spans="1:8" s="136" customFormat="1" ht="13.9" customHeight="1">
      <c r="A99" s="147" t="s">
        <v>211</v>
      </c>
      <c r="B99" s="148" t="s">
        <v>212</v>
      </c>
      <c r="C99" s="149" t="s">
        <v>146</v>
      </c>
      <c r="D99" s="150" t="s">
        <v>128</v>
      </c>
      <c r="E99" s="149">
        <v>1975</v>
      </c>
      <c r="F99" s="204">
        <v>525</v>
      </c>
      <c r="G99" s="135"/>
      <c r="H99" s="135"/>
    </row>
    <row r="100" spans="1:8" s="136" customFormat="1" ht="13.9" customHeight="1">
      <c r="A100" s="128"/>
      <c r="B100" s="128"/>
      <c r="C100" s="121"/>
      <c r="D100" s="151"/>
      <c r="E100" s="130"/>
      <c r="F100" s="131"/>
      <c r="G100" s="135"/>
      <c r="H100" s="135"/>
    </row>
    <row r="101" spans="1:8" s="136" customFormat="1" ht="13.9" customHeight="1">
      <c r="A101" s="221" t="s">
        <v>213</v>
      </c>
      <c r="B101" s="128"/>
      <c r="C101" s="121"/>
      <c r="D101" s="151"/>
      <c r="E101" s="151"/>
      <c r="F101" s="220">
        <f>SUM(F6:F99)</f>
        <v>7041.2999999999993</v>
      </c>
      <c r="G101" s="139"/>
      <c r="H101" s="139"/>
    </row>
    <row r="102" spans="1:8" s="136" customFormat="1" ht="13.9" customHeight="1">
      <c r="A102" s="128"/>
      <c r="B102" s="128"/>
      <c r="C102" s="121"/>
      <c r="D102" s="151"/>
      <c r="E102" s="130"/>
      <c r="F102" s="131"/>
      <c r="G102" s="135"/>
      <c r="H102" s="135"/>
    </row>
    <row r="103" spans="1:8" ht="13.9" customHeight="1">
      <c r="A103" s="152" t="s">
        <v>11</v>
      </c>
      <c r="E103" s="151"/>
      <c r="F103" s="153"/>
    </row>
    <row r="104" spans="1:8" ht="13.9" customHeight="1">
      <c r="A104" s="489" t="s">
        <v>369</v>
      </c>
      <c r="B104" s="489"/>
      <c r="C104" s="489"/>
      <c r="D104" s="489"/>
      <c r="E104" s="489"/>
      <c r="F104" s="489"/>
      <c r="G104" s="153"/>
      <c r="H104" s="153"/>
    </row>
    <row r="105" spans="1:8" ht="13.9" customHeight="1">
      <c r="A105" s="489"/>
      <c r="B105" s="489"/>
      <c r="C105" s="489"/>
      <c r="D105" s="489"/>
      <c r="E105" s="489"/>
      <c r="F105" s="489"/>
      <c r="G105" s="153"/>
      <c r="H105" s="153"/>
    </row>
    <row r="106" spans="1:8" ht="13.9" customHeight="1">
      <c r="A106" s="219" t="s">
        <v>245</v>
      </c>
      <c r="B106" s="205"/>
      <c r="C106" s="205"/>
      <c r="D106" s="205"/>
      <c r="E106" s="205"/>
      <c r="F106" s="205"/>
    </row>
    <row r="107" spans="1:8" s="154" customFormat="1" ht="13.9" customHeight="1">
      <c r="A107" s="218" t="s">
        <v>246</v>
      </c>
      <c r="B107" s="205"/>
      <c r="C107" s="205"/>
      <c r="D107" s="205"/>
      <c r="E107" s="205"/>
      <c r="F107" s="205"/>
      <c r="G107" s="155"/>
      <c r="H107" s="155"/>
    </row>
    <row r="108" spans="1:8" s="154" customFormat="1" ht="15.6" customHeight="1">
      <c r="A108" s="482" t="s">
        <v>279</v>
      </c>
      <c r="B108" s="482"/>
      <c r="C108" s="482"/>
      <c r="D108" s="482"/>
      <c r="E108" s="482"/>
      <c r="F108" s="482"/>
      <c r="G108" s="84"/>
      <c r="H108" s="84"/>
    </row>
    <row r="109" spans="1:8" s="154" customFormat="1">
      <c r="A109" s="487" t="s">
        <v>431</v>
      </c>
      <c r="B109" s="487"/>
      <c r="C109" s="487"/>
      <c r="D109" s="487"/>
      <c r="E109" s="487"/>
      <c r="F109" s="487"/>
      <c r="G109" s="155"/>
      <c r="H109" s="155"/>
    </row>
    <row r="110" spans="1:8" s="154" customFormat="1" ht="28.15" customHeight="1">
      <c r="A110" s="482" t="s">
        <v>397</v>
      </c>
      <c r="B110" s="482"/>
      <c r="C110" s="482"/>
      <c r="D110" s="482"/>
      <c r="E110" s="482"/>
      <c r="F110" s="482"/>
      <c r="G110" s="191"/>
      <c r="H110" s="191"/>
    </row>
    <row r="111" spans="1:8" s="154" customFormat="1" ht="30.6" customHeight="1">
      <c r="A111" s="482" t="s">
        <v>339</v>
      </c>
      <c r="B111" s="482"/>
      <c r="C111" s="482"/>
      <c r="D111" s="482"/>
      <c r="E111" s="482"/>
      <c r="F111" s="482"/>
      <c r="G111" s="84"/>
      <c r="H111" s="84"/>
    </row>
    <row r="112" spans="1:8" s="154" customFormat="1" ht="18" customHeight="1">
      <c r="A112" s="488" t="s">
        <v>399</v>
      </c>
      <c r="B112" s="482"/>
      <c r="C112" s="482"/>
      <c r="D112" s="482"/>
      <c r="E112" s="482"/>
      <c r="F112" s="482"/>
      <c r="G112" s="84"/>
      <c r="H112" s="84"/>
    </row>
    <row r="113" spans="1:8" s="154" customFormat="1" ht="27.75" customHeight="1">
      <c r="A113" s="485" t="s">
        <v>396</v>
      </c>
      <c r="B113" s="486"/>
      <c r="C113" s="486"/>
      <c r="D113" s="486"/>
      <c r="E113" s="486"/>
      <c r="F113" s="486"/>
      <c r="G113" s="157"/>
      <c r="H113" s="156"/>
    </row>
    <row r="114" spans="1:8" s="154" customFormat="1" ht="14.25">
      <c r="A114" s="485" t="s">
        <v>372</v>
      </c>
      <c r="B114" s="485"/>
      <c r="C114" s="485"/>
      <c r="D114" s="485"/>
      <c r="E114" s="485"/>
      <c r="F114" s="485"/>
      <c r="G114" s="157"/>
      <c r="H114" s="156"/>
    </row>
    <row r="115" spans="1:8" s="154" customFormat="1" ht="30" customHeight="1">
      <c r="A115" s="485" t="s">
        <v>578</v>
      </c>
      <c r="B115" s="485"/>
      <c r="C115" s="485"/>
      <c r="D115" s="485"/>
      <c r="E115" s="485"/>
      <c r="F115" s="485"/>
      <c r="G115" s="157"/>
      <c r="H115" s="156"/>
    </row>
    <row r="116" spans="1:8" ht="15.6" customHeight="1">
      <c r="A116" s="487" t="s">
        <v>432</v>
      </c>
      <c r="B116" s="487"/>
      <c r="C116" s="487"/>
      <c r="D116" s="487"/>
      <c r="E116" s="487"/>
      <c r="F116" s="487"/>
    </row>
    <row r="117" spans="1:8">
      <c r="A117" s="487"/>
      <c r="B117" s="487"/>
      <c r="C117" s="487"/>
      <c r="D117" s="487"/>
      <c r="E117" s="487"/>
      <c r="F117" s="487"/>
    </row>
    <row r="119" spans="1:8" s="154" customFormat="1" ht="13.15" customHeight="1">
      <c r="A119" s="483" t="s">
        <v>572</v>
      </c>
      <c r="B119" s="483"/>
      <c r="C119" s="483"/>
      <c r="D119" s="483"/>
      <c r="E119" s="483"/>
      <c r="F119" s="483"/>
      <c r="G119" s="157"/>
      <c r="H119" s="156"/>
    </row>
    <row r="120" spans="1:8" s="154" customFormat="1">
      <c r="A120" s="483"/>
      <c r="B120" s="483"/>
      <c r="C120" s="483"/>
      <c r="D120" s="483"/>
      <c r="E120" s="483"/>
      <c r="F120" s="483"/>
      <c r="G120" s="192"/>
      <c r="H120" s="192"/>
    </row>
    <row r="121" spans="1:8">
      <c r="A121" s="483"/>
      <c r="B121" s="483"/>
      <c r="C121" s="483"/>
      <c r="D121" s="483"/>
      <c r="E121" s="483"/>
      <c r="F121" s="483"/>
    </row>
    <row r="122" spans="1:8" ht="54" customHeight="1">
      <c r="A122" s="483"/>
      <c r="B122" s="483"/>
      <c r="C122" s="483"/>
      <c r="D122" s="483"/>
      <c r="E122" s="483"/>
      <c r="F122" s="483"/>
    </row>
  </sheetData>
  <mergeCells count="12">
    <mergeCell ref="A111:F111"/>
    <mergeCell ref="A119:F122"/>
    <mergeCell ref="A110:F110"/>
    <mergeCell ref="A1:F1"/>
    <mergeCell ref="A113:F113"/>
    <mergeCell ref="A109:F109"/>
    <mergeCell ref="A108:F108"/>
    <mergeCell ref="A112:F112"/>
    <mergeCell ref="A104:F105"/>
    <mergeCell ref="A114:F114"/>
    <mergeCell ref="A116:F117"/>
    <mergeCell ref="A115:F1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3"/>
  <sheetViews>
    <sheetView zoomScale="74" workbookViewId="0">
      <selection activeCell="Y39" sqref="Y39"/>
    </sheetView>
  </sheetViews>
  <sheetFormatPr defaultRowHeight="12.75"/>
  <cols>
    <col min="1" max="1" width="6.5703125" style="25" customWidth="1"/>
    <col min="2" max="2" width="11.140625" style="25" customWidth="1"/>
    <col min="3" max="3" width="11.85546875" style="25" customWidth="1"/>
    <col min="4" max="4" width="9.28515625" style="25" customWidth="1"/>
    <col min="5" max="5" width="10.28515625" style="25" customWidth="1"/>
    <col min="6" max="6" width="10.7109375" style="25" customWidth="1"/>
    <col min="7" max="7" width="13.42578125" style="25" customWidth="1"/>
    <col min="8" max="8" width="12.140625" style="26" customWidth="1"/>
    <col min="9" max="9" width="12.42578125" style="25" customWidth="1"/>
    <col min="10" max="10" width="9.7109375" style="25" customWidth="1"/>
    <col min="11" max="11" width="10.42578125" style="25" customWidth="1"/>
    <col min="12" max="12" width="9.85546875" style="25" customWidth="1"/>
    <col min="13" max="255" width="9.140625" style="25"/>
    <col min="256" max="256" width="6.5703125" style="25" customWidth="1"/>
    <col min="257" max="257" width="11.140625" style="25" customWidth="1"/>
    <col min="258" max="258" width="11.85546875" style="25" customWidth="1"/>
    <col min="259" max="259" width="9.28515625" style="25" customWidth="1"/>
    <col min="260" max="260" width="10.28515625" style="25" customWidth="1"/>
    <col min="261" max="261" width="10.7109375" style="25" customWidth="1"/>
    <col min="262" max="262" width="11" style="25" customWidth="1"/>
    <col min="263" max="263" width="11.85546875" style="25" customWidth="1"/>
    <col min="264" max="264" width="7.7109375" style="25" customWidth="1"/>
    <col min="265" max="265" width="8.28515625" style="25" customWidth="1"/>
    <col min="266" max="266" width="6" style="25" customWidth="1"/>
    <col min="267" max="267" width="10.42578125" style="25" customWidth="1"/>
    <col min="268" max="268" width="9.85546875" style="25" customWidth="1"/>
    <col min="269" max="511" width="9.140625" style="25"/>
    <col min="512" max="512" width="6.5703125" style="25" customWidth="1"/>
    <col min="513" max="513" width="11.140625" style="25" customWidth="1"/>
    <col min="514" max="514" width="11.85546875" style="25" customWidth="1"/>
    <col min="515" max="515" width="9.28515625" style="25" customWidth="1"/>
    <col min="516" max="516" width="10.28515625" style="25" customWidth="1"/>
    <col min="517" max="517" width="10.7109375" style="25" customWidth="1"/>
    <col min="518" max="518" width="11" style="25" customWidth="1"/>
    <col min="519" max="519" width="11.85546875" style="25" customWidth="1"/>
    <col min="520" max="520" width="7.7109375" style="25" customWidth="1"/>
    <col min="521" max="521" width="8.28515625" style="25" customWidth="1"/>
    <col min="522" max="522" width="6" style="25" customWidth="1"/>
    <col min="523" max="523" width="10.42578125" style="25" customWidth="1"/>
    <col min="524" max="524" width="9.85546875" style="25" customWidth="1"/>
    <col min="525" max="767" width="9.140625" style="25"/>
    <col min="768" max="768" width="6.5703125" style="25" customWidth="1"/>
    <col min="769" max="769" width="11.140625" style="25" customWidth="1"/>
    <col min="770" max="770" width="11.85546875" style="25" customWidth="1"/>
    <col min="771" max="771" width="9.28515625" style="25" customWidth="1"/>
    <col min="772" max="772" width="10.28515625" style="25" customWidth="1"/>
    <col min="773" max="773" width="10.7109375" style="25" customWidth="1"/>
    <col min="774" max="774" width="11" style="25" customWidth="1"/>
    <col min="775" max="775" width="11.85546875" style="25" customWidth="1"/>
    <col min="776" max="776" width="7.7109375" style="25" customWidth="1"/>
    <col min="777" max="777" width="8.28515625" style="25" customWidth="1"/>
    <col min="778" max="778" width="6" style="25" customWidth="1"/>
    <col min="779" max="779" width="10.42578125" style="25" customWidth="1"/>
    <col min="780" max="780" width="9.85546875" style="25" customWidth="1"/>
    <col min="781" max="1023" width="9.140625" style="25"/>
    <col min="1024" max="1024" width="6.5703125" style="25" customWidth="1"/>
    <col min="1025" max="1025" width="11.140625" style="25" customWidth="1"/>
    <col min="1026" max="1026" width="11.85546875" style="25" customWidth="1"/>
    <col min="1027" max="1027" width="9.28515625" style="25" customWidth="1"/>
    <col min="1028" max="1028" width="10.28515625" style="25" customWidth="1"/>
    <col min="1029" max="1029" width="10.7109375" style="25" customWidth="1"/>
    <col min="1030" max="1030" width="11" style="25" customWidth="1"/>
    <col min="1031" max="1031" width="11.85546875" style="25" customWidth="1"/>
    <col min="1032" max="1032" width="7.7109375" style="25" customWidth="1"/>
    <col min="1033" max="1033" width="8.28515625" style="25" customWidth="1"/>
    <col min="1034" max="1034" width="6" style="25" customWidth="1"/>
    <col min="1035" max="1035" width="10.42578125" style="25" customWidth="1"/>
    <col min="1036" max="1036" width="9.85546875" style="25" customWidth="1"/>
    <col min="1037" max="1279" width="9.140625" style="25"/>
    <col min="1280" max="1280" width="6.5703125" style="25" customWidth="1"/>
    <col min="1281" max="1281" width="11.140625" style="25" customWidth="1"/>
    <col min="1282" max="1282" width="11.85546875" style="25" customWidth="1"/>
    <col min="1283" max="1283" width="9.28515625" style="25" customWidth="1"/>
    <col min="1284" max="1284" width="10.28515625" style="25" customWidth="1"/>
    <col min="1285" max="1285" width="10.7109375" style="25" customWidth="1"/>
    <col min="1286" max="1286" width="11" style="25" customWidth="1"/>
    <col min="1287" max="1287" width="11.85546875" style="25" customWidth="1"/>
    <col min="1288" max="1288" width="7.7109375" style="25" customWidth="1"/>
    <col min="1289" max="1289" width="8.28515625" style="25" customWidth="1"/>
    <col min="1290" max="1290" width="6" style="25" customWidth="1"/>
    <col min="1291" max="1291" width="10.42578125" style="25" customWidth="1"/>
    <col min="1292" max="1292" width="9.85546875" style="25" customWidth="1"/>
    <col min="1293" max="1535" width="9.140625" style="25"/>
    <col min="1536" max="1536" width="6.5703125" style="25" customWidth="1"/>
    <col min="1537" max="1537" width="11.140625" style="25" customWidth="1"/>
    <col min="1538" max="1538" width="11.85546875" style="25" customWidth="1"/>
    <col min="1539" max="1539" width="9.28515625" style="25" customWidth="1"/>
    <col min="1540" max="1540" width="10.28515625" style="25" customWidth="1"/>
    <col min="1541" max="1541" width="10.7109375" style="25" customWidth="1"/>
    <col min="1542" max="1542" width="11" style="25" customWidth="1"/>
    <col min="1543" max="1543" width="11.85546875" style="25" customWidth="1"/>
    <col min="1544" max="1544" width="7.7109375" style="25" customWidth="1"/>
    <col min="1545" max="1545" width="8.28515625" style="25" customWidth="1"/>
    <col min="1546" max="1546" width="6" style="25" customWidth="1"/>
    <col min="1547" max="1547" width="10.42578125" style="25" customWidth="1"/>
    <col min="1548" max="1548" width="9.85546875" style="25" customWidth="1"/>
    <col min="1549" max="1791" width="9.140625" style="25"/>
    <col min="1792" max="1792" width="6.5703125" style="25" customWidth="1"/>
    <col min="1793" max="1793" width="11.140625" style="25" customWidth="1"/>
    <col min="1794" max="1794" width="11.85546875" style="25" customWidth="1"/>
    <col min="1795" max="1795" width="9.28515625" style="25" customWidth="1"/>
    <col min="1796" max="1796" width="10.28515625" style="25" customWidth="1"/>
    <col min="1797" max="1797" width="10.7109375" style="25" customWidth="1"/>
    <col min="1798" max="1798" width="11" style="25" customWidth="1"/>
    <col min="1799" max="1799" width="11.85546875" style="25" customWidth="1"/>
    <col min="1800" max="1800" width="7.7109375" style="25" customWidth="1"/>
    <col min="1801" max="1801" width="8.28515625" style="25" customWidth="1"/>
    <col min="1802" max="1802" width="6" style="25" customWidth="1"/>
    <col min="1803" max="1803" width="10.42578125" style="25" customWidth="1"/>
    <col min="1804" max="1804" width="9.85546875" style="25" customWidth="1"/>
    <col min="1805" max="2047" width="9.140625" style="25"/>
    <col min="2048" max="2048" width="6.5703125" style="25" customWidth="1"/>
    <col min="2049" max="2049" width="11.140625" style="25" customWidth="1"/>
    <col min="2050" max="2050" width="11.85546875" style="25" customWidth="1"/>
    <col min="2051" max="2051" width="9.28515625" style="25" customWidth="1"/>
    <col min="2052" max="2052" width="10.28515625" style="25" customWidth="1"/>
    <col min="2053" max="2053" width="10.7109375" style="25" customWidth="1"/>
    <col min="2054" max="2054" width="11" style="25" customWidth="1"/>
    <col min="2055" max="2055" width="11.85546875" style="25" customWidth="1"/>
    <col min="2056" max="2056" width="7.7109375" style="25" customWidth="1"/>
    <col min="2057" max="2057" width="8.28515625" style="25" customWidth="1"/>
    <col min="2058" max="2058" width="6" style="25" customWidth="1"/>
    <col min="2059" max="2059" width="10.42578125" style="25" customWidth="1"/>
    <col min="2060" max="2060" width="9.85546875" style="25" customWidth="1"/>
    <col min="2061" max="2303" width="9.140625" style="25"/>
    <col min="2304" max="2304" width="6.5703125" style="25" customWidth="1"/>
    <col min="2305" max="2305" width="11.140625" style="25" customWidth="1"/>
    <col min="2306" max="2306" width="11.85546875" style="25" customWidth="1"/>
    <col min="2307" max="2307" width="9.28515625" style="25" customWidth="1"/>
    <col min="2308" max="2308" width="10.28515625" style="25" customWidth="1"/>
    <col min="2309" max="2309" width="10.7109375" style="25" customWidth="1"/>
    <col min="2310" max="2310" width="11" style="25" customWidth="1"/>
    <col min="2311" max="2311" width="11.85546875" style="25" customWidth="1"/>
    <col min="2312" max="2312" width="7.7109375" style="25" customWidth="1"/>
    <col min="2313" max="2313" width="8.28515625" style="25" customWidth="1"/>
    <col min="2314" max="2314" width="6" style="25" customWidth="1"/>
    <col min="2315" max="2315" width="10.42578125" style="25" customWidth="1"/>
    <col min="2316" max="2316" width="9.85546875" style="25" customWidth="1"/>
    <col min="2317" max="2559" width="9.140625" style="25"/>
    <col min="2560" max="2560" width="6.5703125" style="25" customWidth="1"/>
    <col min="2561" max="2561" width="11.140625" style="25" customWidth="1"/>
    <col min="2562" max="2562" width="11.85546875" style="25" customWidth="1"/>
    <col min="2563" max="2563" width="9.28515625" style="25" customWidth="1"/>
    <col min="2564" max="2564" width="10.28515625" style="25" customWidth="1"/>
    <col min="2565" max="2565" width="10.7109375" style="25" customWidth="1"/>
    <col min="2566" max="2566" width="11" style="25" customWidth="1"/>
    <col min="2567" max="2567" width="11.85546875" style="25" customWidth="1"/>
    <col min="2568" max="2568" width="7.7109375" style="25" customWidth="1"/>
    <col min="2569" max="2569" width="8.28515625" style="25" customWidth="1"/>
    <col min="2570" max="2570" width="6" style="25" customWidth="1"/>
    <col min="2571" max="2571" width="10.42578125" style="25" customWidth="1"/>
    <col min="2572" max="2572" width="9.85546875" style="25" customWidth="1"/>
    <col min="2573" max="2815" width="9.140625" style="25"/>
    <col min="2816" max="2816" width="6.5703125" style="25" customWidth="1"/>
    <col min="2817" max="2817" width="11.140625" style="25" customWidth="1"/>
    <col min="2818" max="2818" width="11.85546875" style="25" customWidth="1"/>
    <col min="2819" max="2819" width="9.28515625" style="25" customWidth="1"/>
    <col min="2820" max="2820" width="10.28515625" style="25" customWidth="1"/>
    <col min="2821" max="2821" width="10.7109375" style="25" customWidth="1"/>
    <col min="2822" max="2822" width="11" style="25" customWidth="1"/>
    <col min="2823" max="2823" width="11.85546875" style="25" customWidth="1"/>
    <col min="2824" max="2824" width="7.7109375" style="25" customWidth="1"/>
    <col min="2825" max="2825" width="8.28515625" style="25" customWidth="1"/>
    <col min="2826" max="2826" width="6" style="25" customWidth="1"/>
    <col min="2827" max="2827" width="10.42578125" style="25" customWidth="1"/>
    <col min="2828" max="2828" width="9.85546875" style="25" customWidth="1"/>
    <col min="2829" max="3071" width="9.140625" style="25"/>
    <col min="3072" max="3072" width="6.5703125" style="25" customWidth="1"/>
    <col min="3073" max="3073" width="11.140625" style="25" customWidth="1"/>
    <col min="3074" max="3074" width="11.85546875" style="25" customWidth="1"/>
    <col min="3075" max="3075" width="9.28515625" style="25" customWidth="1"/>
    <col min="3076" max="3076" width="10.28515625" style="25" customWidth="1"/>
    <col min="3077" max="3077" width="10.7109375" style="25" customWidth="1"/>
    <col min="3078" max="3078" width="11" style="25" customWidth="1"/>
    <col min="3079" max="3079" width="11.85546875" style="25" customWidth="1"/>
    <col min="3080" max="3080" width="7.7109375" style="25" customWidth="1"/>
    <col min="3081" max="3081" width="8.28515625" style="25" customWidth="1"/>
    <col min="3082" max="3082" width="6" style="25" customWidth="1"/>
    <col min="3083" max="3083" width="10.42578125" style="25" customWidth="1"/>
    <col min="3084" max="3084" width="9.85546875" style="25" customWidth="1"/>
    <col min="3085" max="3327" width="9.140625" style="25"/>
    <col min="3328" max="3328" width="6.5703125" style="25" customWidth="1"/>
    <col min="3329" max="3329" width="11.140625" style="25" customWidth="1"/>
    <col min="3330" max="3330" width="11.85546875" style="25" customWidth="1"/>
    <col min="3331" max="3331" width="9.28515625" style="25" customWidth="1"/>
    <col min="3332" max="3332" width="10.28515625" style="25" customWidth="1"/>
    <col min="3333" max="3333" width="10.7109375" style="25" customWidth="1"/>
    <col min="3334" max="3334" width="11" style="25" customWidth="1"/>
    <col min="3335" max="3335" width="11.85546875" style="25" customWidth="1"/>
    <col min="3336" max="3336" width="7.7109375" style="25" customWidth="1"/>
    <col min="3337" max="3337" width="8.28515625" style="25" customWidth="1"/>
    <col min="3338" max="3338" width="6" style="25" customWidth="1"/>
    <col min="3339" max="3339" width="10.42578125" style="25" customWidth="1"/>
    <col min="3340" max="3340" width="9.85546875" style="25" customWidth="1"/>
    <col min="3341" max="3583" width="9.140625" style="25"/>
    <col min="3584" max="3584" width="6.5703125" style="25" customWidth="1"/>
    <col min="3585" max="3585" width="11.140625" style="25" customWidth="1"/>
    <col min="3586" max="3586" width="11.85546875" style="25" customWidth="1"/>
    <col min="3587" max="3587" width="9.28515625" style="25" customWidth="1"/>
    <col min="3588" max="3588" width="10.28515625" style="25" customWidth="1"/>
    <col min="3589" max="3589" width="10.7109375" style="25" customWidth="1"/>
    <col min="3590" max="3590" width="11" style="25" customWidth="1"/>
    <col min="3591" max="3591" width="11.85546875" style="25" customWidth="1"/>
    <col min="3592" max="3592" width="7.7109375" style="25" customWidth="1"/>
    <col min="3593" max="3593" width="8.28515625" style="25" customWidth="1"/>
    <col min="3594" max="3594" width="6" style="25" customWidth="1"/>
    <col min="3595" max="3595" width="10.42578125" style="25" customWidth="1"/>
    <col min="3596" max="3596" width="9.85546875" style="25" customWidth="1"/>
    <col min="3597" max="3839" width="9.140625" style="25"/>
    <col min="3840" max="3840" width="6.5703125" style="25" customWidth="1"/>
    <col min="3841" max="3841" width="11.140625" style="25" customWidth="1"/>
    <col min="3842" max="3842" width="11.85546875" style="25" customWidth="1"/>
    <col min="3843" max="3843" width="9.28515625" style="25" customWidth="1"/>
    <col min="3844" max="3844" width="10.28515625" style="25" customWidth="1"/>
    <col min="3845" max="3845" width="10.7109375" style="25" customWidth="1"/>
    <col min="3846" max="3846" width="11" style="25" customWidth="1"/>
    <col min="3847" max="3847" width="11.85546875" style="25" customWidth="1"/>
    <col min="3848" max="3848" width="7.7109375" style="25" customWidth="1"/>
    <col min="3849" max="3849" width="8.28515625" style="25" customWidth="1"/>
    <col min="3850" max="3850" width="6" style="25" customWidth="1"/>
    <col min="3851" max="3851" width="10.42578125" style="25" customWidth="1"/>
    <col min="3852" max="3852" width="9.85546875" style="25" customWidth="1"/>
    <col min="3853" max="4095" width="9.140625" style="25"/>
    <col min="4096" max="4096" width="6.5703125" style="25" customWidth="1"/>
    <col min="4097" max="4097" width="11.140625" style="25" customWidth="1"/>
    <col min="4098" max="4098" width="11.85546875" style="25" customWidth="1"/>
    <col min="4099" max="4099" width="9.28515625" style="25" customWidth="1"/>
    <col min="4100" max="4100" width="10.28515625" style="25" customWidth="1"/>
    <col min="4101" max="4101" width="10.7109375" style="25" customWidth="1"/>
    <col min="4102" max="4102" width="11" style="25" customWidth="1"/>
    <col min="4103" max="4103" width="11.85546875" style="25" customWidth="1"/>
    <col min="4104" max="4104" width="7.7109375" style="25" customWidth="1"/>
    <col min="4105" max="4105" width="8.28515625" style="25" customWidth="1"/>
    <col min="4106" max="4106" width="6" style="25" customWidth="1"/>
    <col min="4107" max="4107" width="10.42578125" style="25" customWidth="1"/>
    <col min="4108" max="4108" width="9.85546875" style="25" customWidth="1"/>
    <col min="4109" max="4351" width="9.140625" style="25"/>
    <col min="4352" max="4352" width="6.5703125" style="25" customWidth="1"/>
    <col min="4353" max="4353" width="11.140625" style="25" customWidth="1"/>
    <col min="4354" max="4354" width="11.85546875" style="25" customWidth="1"/>
    <col min="4355" max="4355" width="9.28515625" style="25" customWidth="1"/>
    <col min="4356" max="4356" width="10.28515625" style="25" customWidth="1"/>
    <col min="4357" max="4357" width="10.7109375" style="25" customWidth="1"/>
    <col min="4358" max="4358" width="11" style="25" customWidth="1"/>
    <col min="4359" max="4359" width="11.85546875" style="25" customWidth="1"/>
    <col min="4360" max="4360" width="7.7109375" style="25" customWidth="1"/>
    <col min="4361" max="4361" width="8.28515625" style="25" customWidth="1"/>
    <col min="4362" max="4362" width="6" style="25" customWidth="1"/>
    <col min="4363" max="4363" width="10.42578125" style="25" customWidth="1"/>
    <col min="4364" max="4364" width="9.85546875" style="25" customWidth="1"/>
    <col min="4365" max="4607" width="9.140625" style="25"/>
    <col min="4608" max="4608" width="6.5703125" style="25" customWidth="1"/>
    <col min="4609" max="4609" width="11.140625" style="25" customWidth="1"/>
    <col min="4610" max="4610" width="11.85546875" style="25" customWidth="1"/>
    <col min="4611" max="4611" width="9.28515625" style="25" customWidth="1"/>
    <col min="4612" max="4612" width="10.28515625" style="25" customWidth="1"/>
    <col min="4613" max="4613" width="10.7109375" style="25" customWidth="1"/>
    <col min="4614" max="4614" width="11" style="25" customWidth="1"/>
    <col min="4615" max="4615" width="11.85546875" style="25" customWidth="1"/>
    <col min="4616" max="4616" width="7.7109375" style="25" customWidth="1"/>
    <col min="4617" max="4617" width="8.28515625" style="25" customWidth="1"/>
    <col min="4618" max="4618" width="6" style="25" customWidth="1"/>
    <col min="4619" max="4619" width="10.42578125" style="25" customWidth="1"/>
    <col min="4620" max="4620" width="9.85546875" style="25" customWidth="1"/>
    <col min="4621" max="4863" width="9.140625" style="25"/>
    <col min="4864" max="4864" width="6.5703125" style="25" customWidth="1"/>
    <col min="4865" max="4865" width="11.140625" style="25" customWidth="1"/>
    <col min="4866" max="4866" width="11.85546875" style="25" customWidth="1"/>
    <col min="4867" max="4867" width="9.28515625" style="25" customWidth="1"/>
    <col min="4868" max="4868" width="10.28515625" style="25" customWidth="1"/>
    <col min="4869" max="4869" width="10.7109375" style="25" customWidth="1"/>
    <col min="4870" max="4870" width="11" style="25" customWidth="1"/>
    <col min="4871" max="4871" width="11.85546875" style="25" customWidth="1"/>
    <col min="4872" max="4872" width="7.7109375" style="25" customWidth="1"/>
    <col min="4873" max="4873" width="8.28515625" style="25" customWidth="1"/>
    <col min="4874" max="4874" width="6" style="25" customWidth="1"/>
    <col min="4875" max="4875" width="10.42578125" style="25" customWidth="1"/>
    <col min="4876" max="4876" width="9.85546875" style="25" customWidth="1"/>
    <col min="4877" max="5119" width="9.140625" style="25"/>
    <col min="5120" max="5120" width="6.5703125" style="25" customWidth="1"/>
    <col min="5121" max="5121" width="11.140625" style="25" customWidth="1"/>
    <col min="5122" max="5122" width="11.85546875" style="25" customWidth="1"/>
    <col min="5123" max="5123" width="9.28515625" style="25" customWidth="1"/>
    <col min="5124" max="5124" width="10.28515625" style="25" customWidth="1"/>
    <col min="5125" max="5125" width="10.7109375" style="25" customWidth="1"/>
    <col min="5126" max="5126" width="11" style="25" customWidth="1"/>
    <col min="5127" max="5127" width="11.85546875" style="25" customWidth="1"/>
    <col min="5128" max="5128" width="7.7109375" style="25" customWidth="1"/>
    <col min="5129" max="5129" width="8.28515625" style="25" customWidth="1"/>
    <col min="5130" max="5130" width="6" style="25" customWidth="1"/>
    <col min="5131" max="5131" width="10.42578125" style="25" customWidth="1"/>
    <col min="5132" max="5132" width="9.85546875" style="25" customWidth="1"/>
    <col min="5133" max="5375" width="9.140625" style="25"/>
    <col min="5376" max="5376" width="6.5703125" style="25" customWidth="1"/>
    <col min="5377" max="5377" width="11.140625" style="25" customWidth="1"/>
    <col min="5378" max="5378" width="11.85546875" style="25" customWidth="1"/>
    <col min="5379" max="5379" width="9.28515625" style="25" customWidth="1"/>
    <col min="5380" max="5380" width="10.28515625" style="25" customWidth="1"/>
    <col min="5381" max="5381" width="10.7109375" style="25" customWidth="1"/>
    <col min="5382" max="5382" width="11" style="25" customWidth="1"/>
    <col min="5383" max="5383" width="11.85546875" style="25" customWidth="1"/>
    <col min="5384" max="5384" width="7.7109375" style="25" customWidth="1"/>
    <col min="5385" max="5385" width="8.28515625" style="25" customWidth="1"/>
    <col min="5386" max="5386" width="6" style="25" customWidth="1"/>
    <col min="5387" max="5387" width="10.42578125" style="25" customWidth="1"/>
    <col min="5388" max="5388" width="9.85546875" style="25" customWidth="1"/>
    <col min="5389" max="5631" width="9.140625" style="25"/>
    <col min="5632" max="5632" width="6.5703125" style="25" customWidth="1"/>
    <col min="5633" max="5633" width="11.140625" style="25" customWidth="1"/>
    <col min="5634" max="5634" width="11.85546875" style="25" customWidth="1"/>
    <col min="5635" max="5635" width="9.28515625" style="25" customWidth="1"/>
    <col min="5636" max="5636" width="10.28515625" style="25" customWidth="1"/>
    <col min="5637" max="5637" width="10.7109375" style="25" customWidth="1"/>
    <col min="5638" max="5638" width="11" style="25" customWidth="1"/>
    <col min="5639" max="5639" width="11.85546875" style="25" customWidth="1"/>
    <col min="5640" max="5640" width="7.7109375" style="25" customWidth="1"/>
    <col min="5641" max="5641" width="8.28515625" style="25" customWidth="1"/>
    <col min="5642" max="5642" width="6" style="25" customWidth="1"/>
    <col min="5643" max="5643" width="10.42578125" style="25" customWidth="1"/>
    <col min="5644" max="5644" width="9.85546875" style="25" customWidth="1"/>
    <col min="5645" max="5887" width="9.140625" style="25"/>
    <col min="5888" max="5888" width="6.5703125" style="25" customWidth="1"/>
    <col min="5889" max="5889" width="11.140625" style="25" customWidth="1"/>
    <col min="5890" max="5890" width="11.85546875" style="25" customWidth="1"/>
    <col min="5891" max="5891" width="9.28515625" style="25" customWidth="1"/>
    <col min="5892" max="5892" width="10.28515625" style="25" customWidth="1"/>
    <col min="5893" max="5893" width="10.7109375" style="25" customWidth="1"/>
    <col min="5894" max="5894" width="11" style="25" customWidth="1"/>
    <col min="5895" max="5895" width="11.85546875" style="25" customWidth="1"/>
    <col min="5896" max="5896" width="7.7109375" style="25" customWidth="1"/>
    <col min="5897" max="5897" width="8.28515625" style="25" customWidth="1"/>
    <col min="5898" max="5898" width="6" style="25" customWidth="1"/>
    <col min="5899" max="5899" width="10.42578125" style="25" customWidth="1"/>
    <col min="5900" max="5900" width="9.85546875" style="25" customWidth="1"/>
    <col min="5901" max="6143" width="9.140625" style="25"/>
    <col min="6144" max="6144" width="6.5703125" style="25" customWidth="1"/>
    <col min="6145" max="6145" width="11.140625" style="25" customWidth="1"/>
    <col min="6146" max="6146" width="11.85546875" style="25" customWidth="1"/>
    <col min="6147" max="6147" width="9.28515625" style="25" customWidth="1"/>
    <col min="6148" max="6148" width="10.28515625" style="25" customWidth="1"/>
    <col min="6149" max="6149" width="10.7109375" style="25" customWidth="1"/>
    <col min="6150" max="6150" width="11" style="25" customWidth="1"/>
    <col min="6151" max="6151" width="11.85546875" style="25" customWidth="1"/>
    <col min="6152" max="6152" width="7.7109375" style="25" customWidth="1"/>
    <col min="6153" max="6153" width="8.28515625" style="25" customWidth="1"/>
    <col min="6154" max="6154" width="6" style="25" customWidth="1"/>
    <col min="6155" max="6155" width="10.42578125" style="25" customWidth="1"/>
    <col min="6156" max="6156" width="9.85546875" style="25" customWidth="1"/>
    <col min="6157" max="6399" width="9.140625" style="25"/>
    <col min="6400" max="6400" width="6.5703125" style="25" customWidth="1"/>
    <col min="6401" max="6401" width="11.140625" style="25" customWidth="1"/>
    <col min="6402" max="6402" width="11.85546875" style="25" customWidth="1"/>
    <col min="6403" max="6403" width="9.28515625" style="25" customWidth="1"/>
    <col min="6404" max="6404" width="10.28515625" style="25" customWidth="1"/>
    <col min="6405" max="6405" width="10.7109375" style="25" customWidth="1"/>
    <col min="6406" max="6406" width="11" style="25" customWidth="1"/>
    <col min="6407" max="6407" width="11.85546875" style="25" customWidth="1"/>
    <col min="6408" max="6408" width="7.7109375" style="25" customWidth="1"/>
    <col min="6409" max="6409" width="8.28515625" style="25" customWidth="1"/>
    <col min="6410" max="6410" width="6" style="25" customWidth="1"/>
    <col min="6411" max="6411" width="10.42578125" style="25" customWidth="1"/>
    <col min="6412" max="6412" width="9.85546875" style="25" customWidth="1"/>
    <col min="6413" max="6655" width="9.140625" style="25"/>
    <col min="6656" max="6656" width="6.5703125" style="25" customWidth="1"/>
    <col min="6657" max="6657" width="11.140625" style="25" customWidth="1"/>
    <col min="6658" max="6658" width="11.85546875" style="25" customWidth="1"/>
    <col min="6659" max="6659" width="9.28515625" style="25" customWidth="1"/>
    <col min="6660" max="6660" width="10.28515625" style="25" customWidth="1"/>
    <col min="6661" max="6661" width="10.7109375" style="25" customWidth="1"/>
    <col min="6662" max="6662" width="11" style="25" customWidth="1"/>
    <col min="6663" max="6663" width="11.85546875" style="25" customWidth="1"/>
    <col min="6664" max="6664" width="7.7109375" style="25" customWidth="1"/>
    <col min="6665" max="6665" width="8.28515625" style="25" customWidth="1"/>
    <col min="6666" max="6666" width="6" style="25" customWidth="1"/>
    <col min="6667" max="6667" width="10.42578125" style="25" customWidth="1"/>
    <col min="6668" max="6668" width="9.85546875" style="25" customWidth="1"/>
    <col min="6669" max="6911" width="9.140625" style="25"/>
    <col min="6912" max="6912" width="6.5703125" style="25" customWidth="1"/>
    <col min="6913" max="6913" width="11.140625" style="25" customWidth="1"/>
    <col min="6914" max="6914" width="11.85546875" style="25" customWidth="1"/>
    <col min="6915" max="6915" width="9.28515625" style="25" customWidth="1"/>
    <col min="6916" max="6916" width="10.28515625" style="25" customWidth="1"/>
    <col min="6917" max="6917" width="10.7109375" style="25" customWidth="1"/>
    <col min="6918" max="6918" width="11" style="25" customWidth="1"/>
    <col min="6919" max="6919" width="11.85546875" style="25" customWidth="1"/>
    <col min="6920" max="6920" width="7.7109375" style="25" customWidth="1"/>
    <col min="6921" max="6921" width="8.28515625" style="25" customWidth="1"/>
    <col min="6922" max="6922" width="6" style="25" customWidth="1"/>
    <col min="6923" max="6923" width="10.42578125" style="25" customWidth="1"/>
    <col min="6924" max="6924" width="9.85546875" style="25" customWidth="1"/>
    <col min="6925" max="7167" width="9.140625" style="25"/>
    <col min="7168" max="7168" width="6.5703125" style="25" customWidth="1"/>
    <col min="7169" max="7169" width="11.140625" style="25" customWidth="1"/>
    <col min="7170" max="7170" width="11.85546875" style="25" customWidth="1"/>
    <col min="7171" max="7171" width="9.28515625" style="25" customWidth="1"/>
    <col min="7172" max="7172" width="10.28515625" style="25" customWidth="1"/>
    <col min="7173" max="7173" width="10.7109375" style="25" customWidth="1"/>
    <col min="7174" max="7174" width="11" style="25" customWidth="1"/>
    <col min="7175" max="7175" width="11.85546875" style="25" customWidth="1"/>
    <col min="7176" max="7176" width="7.7109375" style="25" customWidth="1"/>
    <col min="7177" max="7177" width="8.28515625" style="25" customWidth="1"/>
    <col min="7178" max="7178" width="6" style="25" customWidth="1"/>
    <col min="7179" max="7179" width="10.42578125" style="25" customWidth="1"/>
    <col min="7180" max="7180" width="9.85546875" style="25" customWidth="1"/>
    <col min="7181" max="7423" width="9.140625" style="25"/>
    <col min="7424" max="7424" width="6.5703125" style="25" customWidth="1"/>
    <col min="7425" max="7425" width="11.140625" style="25" customWidth="1"/>
    <col min="7426" max="7426" width="11.85546875" style="25" customWidth="1"/>
    <col min="7427" max="7427" width="9.28515625" style="25" customWidth="1"/>
    <col min="7428" max="7428" width="10.28515625" style="25" customWidth="1"/>
    <col min="7429" max="7429" width="10.7109375" style="25" customWidth="1"/>
    <col min="7430" max="7430" width="11" style="25" customWidth="1"/>
    <col min="7431" max="7431" width="11.85546875" style="25" customWidth="1"/>
    <col min="7432" max="7432" width="7.7109375" style="25" customWidth="1"/>
    <col min="7433" max="7433" width="8.28515625" style="25" customWidth="1"/>
    <col min="7434" max="7434" width="6" style="25" customWidth="1"/>
    <col min="7435" max="7435" width="10.42578125" style="25" customWidth="1"/>
    <col min="7436" max="7436" width="9.85546875" style="25" customWidth="1"/>
    <col min="7437" max="7679" width="9.140625" style="25"/>
    <col min="7680" max="7680" width="6.5703125" style="25" customWidth="1"/>
    <col min="7681" max="7681" width="11.140625" style="25" customWidth="1"/>
    <col min="7682" max="7682" width="11.85546875" style="25" customWidth="1"/>
    <col min="7683" max="7683" width="9.28515625" style="25" customWidth="1"/>
    <col min="7684" max="7684" width="10.28515625" style="25" customWidth="1"/>
    <col min="7685" max="7685" width="10.7109375" style="25" customWidth="1"/>
    <col min="7686" max="7686" width="11" style="25" customWidth="1"/>
    <col min="7687" max="7687" width="11.85546875" style="25" customWidth="1"/>
    <col min="7688" max="7688" width="7.7109375" style="25" customWidth="1"/>
    <col min="7689" max="7689" width="8.28515625" style="25" customWidth="1"/>
    <col min="7690" max="7690" width="6" style="25" customWidth="1"/>
    <col min="7691" max="7691" width="10.42578125" style="25" customWidth="1"/>
    <col min="7692" max="7692" width="9.85546875" style="25" customWidth="1"/>
    <col min="7693" max="7935" width="9.140625" style="25"/>
    <col min="7936" max="7936" width="6.5703125" style="25" customWidth="1"/>
    <col min="7937" max="7937" width="11.140625" style="25" customWidth="1"/>
    <col min="7938" max="7938" width="11.85546875" style="25" customWidth="1"/>
    <col min="7939" max="7939" width="9.28515625" style="25" customWidth="1"/>
    <col min="7940" max="7940" width="10.28515625" style="25" customWidth="1"/>
    <col min="7941" max="7941" width="10.7109375" style="25" customWidth="1"/>
    <col min="7942" max="7942" width="11" style="25" customWidth="1"/>
    <col min="7943" max="7943" width="11.85546875" style="25" customWidth="1"/>
    <col min="7944" max="7944" width="7.7109375" style="25" customWidth="1"/>
    <col min="7945" max="7945" width="8.28515625" style="25" customWidth="1"/>
    <col min="7946" max="7946" width="6" style="25" customWidth="1"/>
    <col min="7947" max="7947" width="10.42578125" style="25" customWidth="1"/>
    <col min="7948" max="7948" width="9.85546875" style="25" customWidth="1"/>
    <col min="7949" max="8191" width="9.140625" style="25"/>
    <col min="8192" max="8192" width="6.5703125" style="25" customWidth="1"/>
    <col min="8193" max="8193" width="11.140625" style="25" customWidth="1"/>
    <col min="8194" max="8194" width="11.85546875" style="25" customWidth="1"/>
    <col min="8195" max="8195" width="9.28515625" style="25" customWidth="1"/>
    <col min="8196" max="8196" width="10.28515625" style="25" customWidth="1"/>
    <col min="8197" max="8197" width="10.7109375" style="25" customWidth="1"/>
    <col min="8198" max="8198" width="11" style="25" customWidth="1"/>
    <col min="8199" max="8199" width="11.85546875" style="25" customWidth="1"/>
    <col min="8200" max="8200" width="7.7109375" style="25" customWidth="1"/>
    <col min="8201" max="8201" width="8.28515625" style="25" customWidth="1"/>
    <col min="8202" max="8202" width="6" style="25" customWidth="1"/>
    <col min="8203" max="8203" width="10.42578125" style="25" customWidth="1"/>
    <col min="8204" max="8204" width="9.85546875" style="25" customWidth="1"/>
    <col min="8205" max="8447" width="9.140625" style="25"/>
    <col min="8448" max="8448" width="6.5703125" style="25" customWidth="1"/>
    <col min="8449" max="8449" width="11.140625" style="25" customWidth="1"/>
    <col min="8450" max="8450" width="11.85546875" style="25" customWidth="1"/>
    <col min="8451" max="8451" width="9.28515625" style="25" customWidth="1"/>
    <col min="8452" max="8452" width="10.28515625" style="25" customWidth="1"/>
    <col min="8453" max="8453" width="10.7109375" style="25" customWidth="1"/>
    <col min="8454" max="8454" width="11" style="25" customWidth="1"/>
    <col min="8455" max="8455" width="11.85546875" style="25" customWidth="1"/>
    <col min="8456" max="8456" width="7.7109375" style="25" customWidth="1"/>
    <col min="8457" max="8457" width="8.28515625" style="25" customWidth="1"/>
    <col min="8458" max="8458" width="6" style="25" customWidth="1"/>
    <col min="8459" max="8459" width="10.42578125" style="25" customWidth="1"/>
    <col min="8460" max="8460" width="9.85546875" style="25" customWidth="1"/>
    <col min="8461" max="8703" width="9.140625" style="25"/>
    <col min="8704" max="8704" width="6.5703125" style="25" customWidth="1"/>
    <col min="8705" max="8705" width="11.140625" style="25" customWidth="1"/>
    <col min="8706" max="8706" width="11.85546875" style="25" customWidth="1"/>
    <col min="8707" max="8707" width="9.28515625" style="25" customWidth="1"/>
    <col min="8708" max="8708" width="10.28515625" style="25" customWidth="1"/>
    <col min="8709" max="8709" width="10.7109375" style="25" customWidth="1"/>
    <col min="8710" max="8710" width="11" style="25" customWidth="1"/>
    <col min="8711" max="8711" width="11.85546875" style="25" customWidth="1"/>
    <col min="8712" max="8712" width="7.7109375" style="25" customWidth="1"/>
    <col min="8713" max="8713" width="8.28515625" style="25" customWidth="1"/>
    <col min="8714" max="8714" width="6" style="25" customWidth="1"/>
    <col min="8715" max="8715" width="10.42578125" style="25" customWidth="1"/>
    <col min="8716" max="8716" width="9.85546875" style="25" customWidth="1"/>
    <col min="8717" max="8959" width="9.140625" style="25"/>
    <col min="8960" max="8960" width="6.5703125" style="25" customWidth="1"/>
    <col min="8961" max="8961" width="11.140625" style="25" customWidth="1"/>
    <col min="8962" max="8962" width="11.85546875" style="25" customWidth="1"/>
    <col min="8963" max="8963" width="9.28515625" style="25" customWidth="1"/>
    <col min="8964" max="8964" width="10.28515625" style="25" customWidth="1"/>
    <col min="8965" max="8965" width="10.7109375" style="25" customWidth="1"/>
    <col min="8966" max="8966" width="11" style="25" customWidth="1"/>
    <col min="8967" max="8967" width="11.85546875" style="25" customWidth="1"/>
    <col min="8968" max="8968" width="7.7109375" style="25" customWidth="1"/>
    <col min="8969" max="8969" width="8.28515625" style="25" customWidth="1"/>
    <col min="8970" max="8970" width="6" style="25" customWidth="1"/>
    <col min="8971" max="8971" width="10.42578125" style="25" customWidth="1"/>
    <col min="8972" max="8972" width="9.85546875" style="25" customWidth="1"/>
    <col min="8973" max="9215" width="9.140625" style="25"/>
    <col min="9216" max="9216" width="6.5703125" style="25" customWidth="1"/>
    <col min="9217" max="9217" width="11.140625" style="25" customWidth="1"/>
    <col min="9218" max="9218" width="11.85546875" style="25" customWidth="1"/>
    <col min="9219" max="9219" width="9.28515625" style="25" customWidth="1"/>
    <col min="9220" max="9220" width="10.28515625" style="25" customWidth="1"/>
    <col min="9221" max="9221" width="10.7109375" style="25" customWidth="1"/>
    <col min="9222" max="9222" width="11" style="25" customWidth="1"/>
    <col min="9223" max="9223" width="11.85546875" style="25" customWidth="1"/>
    <col min="9224" max="9224" width="7.7109375" style="25" customWidth="1"/>
    <col min="9225" max="9225" width="8.28515625" style="25" customWidth="1"/>
    <col min="9226" max="9226" width="6" style="25" customWidth="1"/>
    <col min="9227" max="9227" width="10.42578125" style="25" customWidth="1"/>
    <col min="9228" max="9228" width="9.85546875" style="25" customWidth="1"/>
    <col min="9229" max="9471" width="9.140625" style="25"/>
    <col min="9472" max="9472" width="6.5703125" style="25" customWidth="1"/>
    <col min="9473" max="9473" width="11.140625" style="25" customWidth="1"/>
    <col min="9474" max="9474" width="11.85546875" style="25" customWidth="1"/>
    <col min="9475" max="9475" width="9.28515625" style="25" customWidth="1"/>
    <col min="9476" max="9476" width="10.28515625" style="25" customWidth="1"/>
    <col min="9477" max="9477" width="10.7109375" style="25" customWidth="1"/>
    <col min="9478" max="9478" width="11" style="25" customWidth="1"/>
    <col min="9479" max="9479" width="11.85546875" style="25" customWidth="1"/>
    <col min="9480" max="9480" width="7.7109375" style="25" customWidth="1"/>
    <col min="9481" max="9481" width="8.28515625" style="25" customWidth="1"/>
    <col min="9482" max="9482" width="6" style="25" customWidth="1"/>
    <col min="9483" max="9483" width="10.42578125" style="25" customWidth="1"/>
    <col min="9484" max="9484" width="9.85546875" style="25" customWidth="1"/>
    <col min="9485" max="9727" width="9.140625" style="25"/>
    <col min="9728" max="9728" width="6.5703125" style="25" customWidth="1"/>
    <col min="9729" max="9729" width="11.140625" style="25" customWidth="1"/>
    <col min="9730" max="9730" width="11.85546875" style="25" customWidth="1"/>
    <col min="9731" max="9731" width="9.28515625" style="25" customWidth="1"/>
    <col min="9732" max="9732" width="10.28515625" style="25" customWidth="1"/>
    <col min="9733" max="9733" width="10.7109375" style="25" customWidth="1"/>
    <col min="9734" max="9734" width="11" style="25" customWidth="1"/>
    <col min="9735" max="9735" width="11.85546875" style="25" customWidth="1"/>
    <col min="9736" max="9736" width="7.7109375" style="25" customWidth="1"/>
    <col min="9737" max="9737" width="8.28515625" style="25" customWidth="1"/>
    <col min="9738" max="9738" width="6" style="25" customWidth="1"/>
    <col min="9739" max="9739" width="10.42578125" style="25" customWidth="1"/>
    <col min="9740" max="9740" width="9.85546875" style="25" customWidth="1"/>
    <col min="9741" max="9983" width="9.140625" style="25"/>
    <col min="9984" max="9984" width="6.5703125" style="25" customWidth="1"/>
    <col min="9985" max="9985" width="11.140625" style="25" customWidth="1"/>
    <col min="9986" max="9986" width="11.85546875" style="25" customWidth="1"/>
    <col min="9987" max="9987" width="9.28515625" style="25" customWidth="1"/>
    <col min="9988" max="9988" width="10.28515625" style="25" customWidth="1"/>
    <col min="9989" max="9989" width="10.7109375" style="25" customWidth="1"/>
    <col min="9990" max="9990" width="11" style="25" customWidth="1"/>
    <col min="9991" max="9991" width="11.85546875" style="25" customWidth="1"/>
    <col min="9992" max="9992" width="7.7109375" style="25" customWidth="1"/>
    <col min="9993" max="9993" width="8.28515625" style="25" customWidth="1"/>
    <col min="9994" max="9994" width="6" style="25" customWidth="1"/>
    <col min="9995" max="9995" width="10.42578125" style="25" customWidth="1"/>
    <col min="9996" max="9996" width="9.85546875" style="25" customWidth="1"/>
    <col min="9997" max="10239" width="9.140625" style="25"/>
    <col min="10240" max="10240" width="6.5703125" style="25" customWidth="1"/>
    <col min="10241" max="10241" width="11.140625" style="25" customWidth="1"/>
    <col min="10242" max="10242" width="11.85546875" style="25" customWidth="1"/>
    <col min="10243" max="10243" width="9.28515625" style="25" customWidth="1"/>
    <col min="10244" max="10244" width="10.28515625" style="25" customWidth="1"/>
    <col min="10245" max="10245" width="10.7109375" style="25" customWidth="1"/>
    <col min="10246" max="10246" width="11" style="25" customWidth="1"/>
    <col min="10247" max="10247" width="11.85546875" style="25" customWidth="1"/>
    <col min="10248" max="10248" width="7.7109375" style="25" customWidth="1"/>
    <col min="10249" max="10249" width="8.28515625" style="25" customWidth="1"/>
    <col min="10250" max="10250" width="6" style="25" customWidth="1"/>
    <col min="10251" max="10251" width="10.42578125" style="25" customWidth="1"/>
    <col min="10252" max="10252" width="9.85546875" style="25" customWidth="1"/>
    <col min="10253" max="10495" width="9.140625" style="25"/>
    <col min="10496" max="10496" width="6.5703125" style="25" customWidth="1"/>
    <col min="10497" max="10497" width="11.140625" style="25" customWidth="1"/>
    <col min="10498" max="10498" width="11.85546875" style="25" customWidth="1"/>
    <col min="10499" max="10499" width="9.28515625" style="25" customWidth="1"/>
    <col min="10500" max="10500" width="10.28515625" style="25" customWidth="1"/>
    <col min="10501" max="10501" width="10.7109375" style="25" customWidth="1"/>
    <col min="10502" max="10502" width="11" style="25" customWidth="1"/>
    <col min="10503" max="10503" width="11.85546875" style="25" customWidth="1"/>
    <col min="10504" max="10504" width="7.7109375" style="25" customWidth="1"/>
    <col min="10505" max="10505" width="8.28515625" style="25" customWidth="1"/>
    <col min="10506" max="10506" width="6" style="25" customWidth="1"/>
    <col min="10507" max="10507" width="10.42578125" style="25" customWidth="1"/>
    <col min="10508" max="10508" width="9.85546875" style="25" customWidth="1"/>
    <col min="10509" max="10751" width="9.140625" style="25"/>
    <col min="10752" max="10752" width="6.5703125" style="25" customWidth="1"/>
    <col min="10753" max="10753" width="11.140625" style="25" customWidth="1"/>
    <col min="10754" max="10754" width="11.85546875" style="25" customWidth="1"/>
    <col min="10755" max="10755" width="9.28515625" style="25" customWidth="1"/>
    <col min="10756" max="10756" width="10.28515625" style="25" customWidth="1"/>
    <col min="10757" max="10757" width="10.7109375" style="25" customWidth="1"/>
    <col min="10758" max="10758" width="11" style="25" customWidth="1"/>
    <col min="10759" max="10759" width="11.85546875" style="25" customWidth="1"/>
    <col min="10760" max="10760" width="7.7109375" style="25" customWidth="1"/>
    <col min="10761" max="10761" width="8.28515625" style="25" customWidth="1"/>
    <col min="10762" max="10762" width="6" style="25" customWidth="1"/>
    <col min="10763" max="10763" width="10.42578125" style="25" customWidth="1"/>
    <col min="10764" max="10764" width="9.85546875" style="25" customWidth="1"/>
    <col min="10765" max="11007" width="9.140625" style="25"/>
    <col min="11008" max="11008" width="6.5703125" style="25" customWidth="1"/>
    <col min="11009" max="11009" width="11.140625" style="25" customWidth="1"/>
    <col min="11010" max="11010" width="11.85546875" style="25" customWidth="1"/>
    <col min="11011" max="11011" width="9.28515625" style="25" customWidth="1"/>
    <col min="11012" max="11012" width="10.28515625" style="25" customWidth="1"/>
    <col min="11013" max="11013" width="10.7109375" style="25" customWidth="1"/>
    <col min="11014" max="11014" width="11" style="25" customWidth="1"/>
    <col min="11015" max="11015" width="11.85546875" style="25" customWidth="1"/>
    <col min="11016" max="11016" width="7.7109375" style="25" customWidth="1"/>
    <col min="11017" max="11017" width="8.28515625" style="25" customWidth="1"/>
    <col min="11018" max="11018" width="6" style="25" customWidth="1"/>
    <col min="11019" max="11019" width="10.42578125" style="25" customWidth="1"/>
    <col min="11020" max="11020" width="9.85546875" style="25" customWidth="1"/>
    <col min="11021" max="11263" width="9.140625" style="25"/>
    <col min="11264" max="11264" width="6.5703125" style="25" customWidth="1"/>
    <col min="11265" max="11265" width="11.140625" style="25" customWidth="1"/>
    <col min="11266" max="11266" width="11.85546875" style="25" customWidth="1"/>
    <col min="11267" max="11267" width="9.28515625" style="25" customWidth="1"/>
    <col min="11268" max="11268" width="10.28515625" style="25" customWidth="1"/>
    <col min="11269" max="11269" width="10.7109375" style="25" customWidth="1"/>
    <col min="11270" max="11270" width="11" style="25" customWidth="1"/>
    <col min="11271" max="11271" width="11.85546875" style="25" customWidth="1"/>
    <col min="11272" max="11272" width="7.7109375" style="25" customWidth="1"/>
    <col min="11273" max="11273" width="8.28515625" style="25" customWidth="1"/>
    <col min="11274" max="11274" width="6" style="25" customWidth="1"/>
    <col min="11275" max="11275" width="10.42578125" style="25" customWidth="1"/>
    <col min="11276" max="11276" width="9.85546875" style="25" customWidth="1"/>
    <col min="11277" max="11519" width="9.140625" style="25"/>
    <col min="11520" max="11520" width="6.5703125" style="25" customWidth="1"/>
    <col min="11521" max="11521" width="11.140625" style="25" customWidth="1"/>
    <col min="11522" max="11522" width="11.85546875" style="25" customWidth="1"/>
    <col min="11523" max="11523" width="9.28515625" style="25" customWidth="1"/>
    <col min="11524" max="11524" width="10.28515625" style="25" customWidth="1"/>
    <col min="11525" max="11525" width="10.7109375" style="25" customWidth="1"/>
    <col min="11526" max="11526" width="11" style="25" customWidth="1"/>
    <col min="11527" max="11527" width="11.85546875" style="25" customWidth="1"/>
    <col min="11528" max="11528" width="7.7109375" style="25" customWidth="1"/>
    <col min="11529" max="11529" width="8.28515625" style="25" customWidth="1"/>
    <col min="11530" max="11530" width="6" style="25" customWidth="1"/>
    <col min="11531" max="11531" width="10.42578125" style="25" customWidth="1"/>
    <col min="11532" max="11532" width="9.85546875" style="25" customWidth="1"/>
    <col min="11533" max="11775" width="9.140625" style="25"/>
    <col min="11776" max="11776" width="6.5703125" style="25" customWidth="1"/>
    <col min="11777" max="11777" width="11.140625" style="25" customWidth="1"/>
    <col min="11778" max="11778" width="11.85546875" style="25" customWidth="1"/>
    <col min="11779" max="11779" width="9.28515625" style="25" customWidth="1"/>
    <col min="11780" max="11780" width="10.28515625" style="25" customWidth="1"/>
    <col min="11781" max="11781" width="10.7109375" style="25" customWidth="1"/>
    <col min="11782" max="11782" width="11" style="25" customWidth="1"/>
    <col min="11783" max="11783" width="11.85546875" style="25" customWidth="1"/>
    <col min="11784" max="11784" width="7.7109375" style="25" customWidth="1"/>
    <col min="11785" max="11785" width="8.28515625" style="25" customWidth="1"/>
    <col min="11786" max="11786" width="6" style="25" customWidth="1"/>
    <col min="11787" max="11787" width="10.42578125" style="25" customWidth="1"/>
    <col min="11788" max="11788" width="9.85546875" style="25" customWidth="1"/>
    <col min="11789" max="12031" width="9.140625" style="25"/>
    <col min="12032" max="12032" width="6.5703125" style="25" customWidth="1"/>
    <col min="12033" max="12033" width="11.140625" style="25" customWidth="1"/>
    <col min="12034" max="12034" width="11.85546875" style="25" customWidth="1"/>
    <col min="12035" max="12035" width="9.28515625" style="25" customWidth="1"/>
    <col min="12036" max="12036" width="10.28515625" style="25" customWidth="1"/>
    <col min="12037" max="12037" width="10.7109375" style="25" customWidth="1"/>
    <col min="12038" max="12038" width="11" style="25" customWidth="1"/>
    <col min="12039" max="12039" width="11.85546875" style="25" customWidth="1"/>
    <col min="12040" max="12040" width="7.7109375" style="25" customWidth="1"/>
    <col min="12041" max="12041" width="8.28515625" style="25" customWidth="1"/>
    <col min="12042" max="12042" width="6" style="25" customWidth="1"/>
    <col min="12043" max="12043" width="10.42578125" style="25" customWidth="1"/>
    <col min="12044" max="12044" width="9.85546875" style="25" customWidth="1"/>
    <col min="12045" max="12287" width="9.140625" style="25"/>
    <col min="12288" max="12288" width="6.5703125" style="25" customWidth="1"/>
    <col min="12289" max="12289" width="11.140625" style="25" customWidth="1"/>
    <col min="12290" max="12290" width="11.85546875" style="25" customWidth="1"/>
    <col min="12291" max="12291" width="9.28515625" style="25" customWidth="1"/>
    <col min="12292" max="12292" width="10.28515625" style="25" customWidth="1"/>
    <col min="12293" max="12293" width="10.7109375" style="25" customWidth="1"/>
    <col min="12294" max="12294" width="11" style="25" customWidth="1"/>
    <col min="12295" max="12295" width="11.85546875" style="25" customWidth="1"/>
    <col min="12296" max="12296" width="7.7109375" style="25" customWidth="1"/>
    <col min="12297" max="12297" width="8.28515625" style="25" customWidth="1"/>
    <col min="12298" max="12298" width="6" style="25" customWidth="1"/>
    <col min="12299" max="12299" width="10.42578125" style="25" customWidth="1"/>
    <col min="12300" max="12300" width="9.85546875" style="25" customWidth="1"/>
    <col min="12301" max="12543" width="9.140625" style="25"/>
    <col min="12544" max="12544" width="6.5703125" style="25" customWidth="1"/>
    <col min="12545" max="12545" width="11.140625" style="25" customWidth="1"/>
    <col min="12546" max="12546" width="11.85546875" style="25" customWidth="1"/>
    <col min="12547" max="12547" width="9.28515625" style="25" customWidth="1"/>
    <col min="12548" max="12548" width="10.28515625" style="25" customWidth="1"/>
    <col min="12549" max="12549" width="10.7109375" style="25" customWidth="1"/>
    <col min="12550" max="12550" width="11" style="25" customWidth="1"/>
    <col min="12551" max="12551" width="11.85546875" style="25" customWidth="1"/>
    <col min="12552" max="12552" width="7.7109375" style="25" customWidth="1"/>
    <col min="12553" max="12553" width="8.28515625" style="25" customWidth="1"/>
    <col min="12554" max="12554" width="6" style="25" customWidth="1"/>
    <col min="12555" max="12555" width="10.42578125" style="25" customWidth="1"/>
    <col min="12556" max="12556" width="9.85546875" style="25" customWidth="1"/>
    <col min="12557" max="12799" width="9.140625" style="25"/>
    <col min="12800" max="12800" width="6.5703125" style="25" customWidth="1"/>
    <col min="12801" max="12801" width="11.140625" style="25" customWidth="1"/>
    <col min="12802" max="12802" width="11.85546875" style="25" customWidth="1"/>
    <col min="12803" max="12803" width="9.28515625" style="25" customWidth="1"/>
    <col min="12804" max="12804" width="10.28515625" style="25" customWidth="1"/>
    <col min="12805" max="12805" width="10.7109375" style="25" customWidth="1"/>
    <col min="12806" max="12806" width="11" style="25" customWidth="1"/>
    <col min="12807" max="12807" width="11.85546875" style="25" customWidth="1"/>
    <col min="12808" max="12808" width="7.7109375" style="25" customWidth="1"/>
    <col min="12809" max="12809" width="8.28515625" style="25" customWidth="1"/>
    <col min="12810" max="12810" width="6" style="25" customWidth="1"/>
    <col min="12811" max="12811" width="10.42578125" style="25" customWidth="1"/>
    <col min="12812" max="12812" width="9.85546875" style="25" customWidth="1"/>
    <col min="12813" max="13055" width="9.140625" style="25"/>
    <col min="13056" max="13056" width="6.5703125" style="25" customWidth="1"/>
    <col min="13057" max="13057" width="11.140625" style="25" customWidth="1"/>
    <col min="13058" max="13058" width="11.85546875" style="25" customWidth="1"/>
    <col min="13059" max="13059" width="9.28515625" style="25" customWidth="1"/>
    <col min="13060" max="13060" width="10.28515625" style="25" customWidth="1"/>
    <col min="13061" max="13061" width="10.7109375" style="25" customWidth="1"/>
    <col min="13062" max="13062" width="11" style="25" customWidth="1"/>
    <col min="13063" max="13063" width="11.85546875" style="25" customWidth="1"/>
    <col min="13064" max="13064" width="7.7109375" style="25" customWidth="1"/>
    <col min="13065" max="13065" width="8.28515625" style="25" customWidth="1"/>
    <col min="13066" max="13066" width="6" style="25" customWidth="1"/>
    <col min="13067" max="13067" width="10.42578125" style="25" customWidth="1"/>
    <col min="13068" max="13068" width="9.85546875" style="25" customWidth="1"/>
    <col min="13069" max="13311" width="9.140625" style="25"/>
    <col min="13312" max="13312" width="6.5703125" style="25" customWidth="1"/>
    <col min="13313" max="13313" width="11.140625" style="25" customWidth="1"/>
    <col min="13314" max="13314" width="11.85546875" style="25" customWidth="1"/>
    <col min="13315" max="13315" width="9.28515625" style="25" customWidth="1"/>
    <col min="13316" max="13316" width="10.28515625" style="25" customWidth="1"/>
    <col min="13317" max="13317" width="10.7109375" style="25" customWidth="1"/>
    <col min="13318" max="13318" width="11" style="25" customWidth="1"/>
    <col min="13319" max="13319" width="11.85546875" style="25" customWidth="1"/>
    <col min="13320" max="13320" width="7.7109375" style="25" customWidth="1"/>
    <col min="13321" max="13321" width="8.28515625" style="25" customWidth="1"/>
    <col min="13322" max="13322" width="6" style="25" customWidth="1"/>
    <col min="13323" max="13323" width="10.42578125" style="25" customWidth="1"/>
    <col min="13324" max="13324" width="9.85546875" style="25" customWidth="1"/>
    <col min="13325" max="13567" width="9.140625" style="25"/>
    <col min="13568" max="13568" width="6.5703125" style="25" customWidth="1"/>
    <col min="13569" max="13569" width="11.140625" style="25" customWidth="1"/>
    <col min="13570" max="13570" width="11.85546875" style="25" customWidth="1"/>
    <col min="13571" max="13571" width="9.28515625" style="25" customWidth="1"/>
    <col min="13572" max="13572" width="10.28515625" style="25" customWidth="1"/>
    <col min="13573" max="13573" width="10.7109375" style="25" customWidth="1"/>
    <col min="13574" max="13574" width="11" style="25" customWidth="1"/>
    <col min="13575" max="13575" width="11.85546875" style="25" customWidth="1"/>
    <col min="13576" max="13576" width="7.7109375" style="25" customWidth="1"/>
    <col min="13577" max="13577" width="8.28515625" style="25" customWidth="1"/>
    <col min="13578" max="13578" width="6" style="25" customWidth="1"/>
    <col min="13579" max="13579" width="10.42578125" style="25" customWidth="1"/>
    <col min="13580" max="13580" width="9.85546875" style="25" customWidth="1"/>
    <col min="13581" max="13823" width="9.140625" style="25"/>
    <col min="13824" max="13824" width="6.5703125" style="25" customWidth="1"/>
    <col min="13825" max="13825" width="11.140625" style="25" customWidth="1"/>
    <col min="13826" max="13826" width="11.85546875" style="25" customWidth="1"/>
    <col min="13827" max="13827" width="9.28515625" style="25" customWidth="1"/>
    <col min="13828" max="13828" width="10.28515625" style="25" customWidth="1"/>
    <col min="13829" max="13829" width="10.7109375" style="25" customWidth="1"/>
    <col min="13830" max="13830" width="11" style="25" customWidth="1"/>
    <col min="13831" max="13831" width="11.85546875" style="25" customWidth="1"/>
    <col min="13832" max="13832" width="7.7109375" style="25" customWidth="1"/>
    <col min="13833" max="13833" width="8.28515625" style="25" customWidth="1"/>
    <col min="13834" max="13834" width="6" style="25" customWidth="1"/>
    <col min="13835" max="13835" width="10.42578125" style="25" customWidth="1"/>
    <col min="13836" max="13836" width="9.85546875" style="25" customWidth="1"/>
    <col min="13837" max="14079" width="9.140625" style="25"/>
    <col min="14080" max="14080" width="6.5703125" style="25" customWidth="1"/>
    <col min="14081" max="14081" width="11.140625" style="25" customWidth="1"/>
    <col min="14082" max="14082" width="11.85546875" style="25" customWidth="1"/>
    <col min="14083" max="14083" width="9.28515625" style="25" customWidth="1"/>
    <col min="14084" max="14084" width="10.28515625" style="25" customWidth="1"/>
    <col min="14085" max="14085" width="10.7109375" style="25" customWidth="1"/>
    <col min="14086" max="14086" width="11" style="25" customWidth="1"/>
    <col min="14087" max="14087" width="11.85546875" style="25" customWidth="1"/>
    <col min="14088" max="14088" width="7.7109375" style="25" customWidth="1"/>
    <col min="14089" max="14089" width="8.28515625" style="25" customWidth="1"/>
    <col min="14090" max="14090" width="6" style="25" customWidth="1"/>
    <col min="14091" max="14091" width="10.42578125" style="25" customWidth="1"/>
    <col min="14092" max="14092" width="9.85546875" style="25" customWidth="1"/>
    <col min="14093" max="14335" width="9.140625" style="25"/>
    <col min="14336" max="14336" width="6.5703125" style="25" customWidth="1"/>
    <col min="14337" max="14337" width="11.140625" style="25" customWidth="1"/>
    <col min="14338" max="14338" width="11.85546875" style="25" customWidth="1"/>
    <col min="14339" max="14339" width="9.28515625" style="25" customWidth="1"/>
    <col min="14340" max="14340" width="10.28515625" style="25" customWidth="1"/>
    <col min="14341" max="14341" width="10.7109375" style="25" customWidth="1"/>
    <col min="14342" max="14342" width="11" style="25" customWidth="1"/>
    <col min="14343" max="14343" width="11.85546875" style="25" customWidth="1"/>
    <col min="14344" max="14344" width="7.7109375" style="25" customWidth="1"/>
    <col min="14345" max="14345" width="8.28515625" style="25" customWidth="1"/>
    <col min="14346" max="14346" width="6" style="25" customWidth="1"/>
    <col min="14347" max="14347" width="10.42578125" style="25" customWidth="1"/>
    <col min="14348" max="14348" width="9.85546875" style="25" customWidth="1"/>
    <col min="14349" max="14591" width="9.140625" style="25"/>
    <col min="14592" max="14592" width="6.5703125" style="25" customWidth="1"/>
    <col min="14593" max="14593" width="11.140625" style="25" customWidth="1"/>
    <col min="14594" max="14594" width="11.85546875" style="25" customWidth="1"/>
    <col min="14595" max="14595" width="9.28515625" style="25" customWidth="1"/>
    <col min="14596" max="14596" width="10.28515625" style="25" customWidth="1"/>
    <col min="14597" max="14597" width="10.7109375" style="25" customWidth="1"/>
    <col min="14598" max="14598" width="11" style="25" customWidth="1"/>
    <col min="14599" max="14599" width="11.85546875" style="25" customWidth="1"/>
    <col min="14600" max="14600" width="7.7109375" style="25" customWidth="1"/>
    <col min="14601" max="14601" width="8.28515625" style="25" customWidth="1"/>
    <col min="14602" max="14602" width="6" style="25" customWidth="1"/>
    <col min="14603" max="14603" width="10.42578125" style="25" customWidth="1"/>
    <col min="14604" max="14604" width="9.85546875" style="25" customWidth="1"/>
    <col min="14605" max="14847" width="9.140625" style="25"/>
    <col min="14848" max="14848" width="6.5703125" style="25" customWidth="1"/>
    <col min="14849" max="14849" width="11.140625" style="25" customWidth="1"/>
    <col min="14850" max="14850" width="11.85546875" style="25" customWidth="1"/>
    <col min="14851" max="14851" width="9.28515625" style="25" customWidth="1"/>
    <col min="14852" max="14852" width="10.28515625" style="25" customWidth="1"/>
    <col min="14853" max="14853" width="10.7109375" style="25" customWidth="1"/>
    <col min="14854" max="14854" width="11" style="25" customWidth="1"/>
    <col min="14855" max="14855" width="11.85546875" style="25" customWidth="1"/>
    <col min="14856" max="14856" width="7.7109375" style="25" customWidth="1"/>
    <col min="14857" max="14857" width="8.28515625" style="25" customWidth="1"/>
    <col min="14858" max="14858" width="6" style="25" customWidth="1"/>
    <col min="14859" max="14859" width="10.42578125" style="25" customWidth="1"/>
    <col min="14860" max="14860" width="9.85546875" style="25" customWidth="1"/>
    <col min="14861" max="15103" width="9.140625" style="25"/>
    <col min="15104" max="15104" width="6.5703125" style="25" customWidth="1"/>
    <col min="15105" max="15105" width="11.140625" style="25" customWidth="1"/>
    <col min="15106" max="15106" width="11.85546875" style="25" customWidth="1"/>
    <col min="15107" max="15107" width="9.28515625" style="25" customWidth="1"/>
    <col min="15108" max="15108" width="10.28515625" style="25" customWidth="1"/>
    <col min="15109" max="15109" width="10.7109375" style="25" customWidth="1"/>
    <col min="15110" max="15110" width="11" style="25" customWidth="1"/>
    <col min="15111" max="15111" width="11.85546875" style="25" customWidth="1"/>
    <col min="15112" max="15112" width="7.7109375" style="25" customWidth="1"/>
    <col min="15113" max="15113" width="8.28515625" style="25" customWidth="1"/>
    <col min="15114" max="15114" width="6" style="25" customWidth="1"/>
    <col min="15115" max="15115" width="10.42578125" style="25" customWidth="1"/>
    <col min="15116" max="15116" width="9.85546875" style="25" customWidth="1"/>
    <col min="15117" max="15359" width="9.140625" style="25"/>
    <col min="15360" max="15360" width="6.5703125" style="25" customWidth="1"/>
    <col min="15361" max="15361" width="11.140625" style="25" customWidth="1"/>
    <col min="15362" max="15362" width="11.85546875" style="25" customWidth="1"/>
    <col min="15363" max="15363" width="9.28515625" style="25" customWidth="1"/>
    <col min="15364" max="15364" width="10.28515625" style="25" customWidth="1"/>
    <col min="15365" max="15365" width="10.7109375" style="25" customWidth="1"/>
    <col min="15366" max="15366" width="11" style="25" customWidth="1"/>
    <col min="15367" max="15367" width="11.85546875" style="25" customWidth="1"/>
    <col min="15368" max="15368" width="7.7109375" style="25" customWidth="1"/>
    <col min="15369" max="15369" width="8.28515625" style="25" customWidth="1"/>
    <col min="15370" max="15370" width="6" style="25" customWidth="1"/>
    <col min="15371" max="15371" width="10.42578125" style="25" customWidth="1"/>
    <col min="15372" max="15372" width="9.85546875" style="25" customWidth="1"/>
    <col min="15373" max="15615" width="9.140625" style="25"/>
    <col min="15616" max="15616" width="6.5703125" style="25" customWidth="1"/>
    <col min="15617" max="15617" width="11.140625" style="25" customWidth="1"/>
    <col min="15618" max="15618" width="11.85546875" style="25" customWidth="1"/>
    <col min="15619" max="15619" width="9.28515625" style="25" customWidth="1"/>
    <col min="15620" max="15620" width="10.28515625" style="25" customWidth="1"/>
    <col min="15621" max="15621" width="10.7109375" style="25" customWidth="1"/>
    <col min="15622" max="15622" width="11" style="25" customWidth="1"/>
    <col min="15623" max="15623" width="11.85546875" style="25" customWidth="1"/>
    <col min="15624" max="15624" width="7.7109375" style="25" customWidth="1"/>
    <col min="15625" max="15625" width="8.28515625" style="25" customWidth="1"/>
    <col min="15626" max="15626" width="6" style="25" customWidth="1"/>
    <col min="15627" max="15627" width="10.42578125" style="25" customWidth="1"/>
    <col min="15628" max="15628" width="9.85546875" style="25" customWidth="1"/>
    <col min="15629" max="15871" width="9.140625" style="25"/>
    <col min="15872" max="15872" width="6.5703125" style="25" customWidth="1"/>
    <col min="15873" max="15873" width="11.140625" style="25" customWidth="1"/>
    <col min="15874" max="15874" width="11.85546875" style="25" customWidth="1"/>
    <col min="15875" max="15875" width="9.28515625" style="25" customWidth="1"/>
    <col min="15876" max="15876" width="10.28515625" style="25" customWidth="1"/>
    <col min="15877" max="15877" width="10.7109375" style="25" customWidth="1"/>
    <col min="15878" max="15878" width="11" style="25" customWidth="1"/>
    <col min="15879" max="15879" width="11.85546875" style="25" customWidth="1"/>
    <col min="15880" max="15880" width="7.7109375" style="25" customWidth="1"/>
    <col min="15881" max="15881" width="8.28515625" style="25" customWidth="1"/>
    <col min="15882" max="15882" width="6" style="25" customWidth="1"/>
    <col min="15883" max="15883" width="10.42578125" style="25" customWidth="1"/>
    <col min="15884" max="15884" width="9.85546875" style="25" customWidth="1"/>
    <col min="15885" max="16127" width="9.140625" style="25"/>
    <col min="16128" max="16128" width="6.5703125" style="25" customWidth="1"/>
    <col min="16129" max="16129" width="11.140625" style="25" customWidth="1"/>
    <col min="16130" max="16130" width="11.85546875" style="25" customWidth="1"/>
    <col min="16131" max="16131" width="9.28515625" style="25" customWidth="1"/>
    <col min="16132" max="16132" width="10.28515625" style="25" customWidth="1"/>
    <col min="16133" max="16133" width="10.7109375" style="25" customWidth="1"/>
    <col min="16134" max="16134" width="11" style="25" customWidth="1"/>
    <col min="16135" max="16135" width="11.85546875" style="25" customWidth="1"/>
    <col min="16136" max="16136" width="7.7109375" style="25" customWidth="1"/>
    <col min="16137" max="16137" width="8.28515625" style="25" customWidth="1"/>
    <col min="16138" max="16138" width="6" style="25" customWidth="1"/>
    <col min="16139" max="16139" width="10.42578125" style="25" customWidth="1"/>
    <col min="16140" max="16140" width="9.85546875" style="25" customWidth="1"/>
    <col min="16141" max="16384" width="9.140625" style="25"/>
  </cols>
  <sheetData>
    <row r="1" spans="1:11" s="6" customFormat="1" ht="21">
      <c r="A1" s="5" t="s">
        <v>610</v>
      </c>
      <c r="G1" s="7"/>
      <c r="H1" s="8"/>
      <c r="I1" s="7"/>
    </row>
    <row r="2" spans="1:11" s="9" customFormat="1" ht="5.25" customHeight="1">
      <c r="B2" s="529"/>
      <c r="C2" s="529"/>
      <c r="D2" s="529"/>
      <c r="E2" s="529"/>
      <c r="F2" s="529"/>
      <c r="G2" s="529"/>
      <c r="H2" s="529"/>
      <c r="I2" s="529"/>
    </row>
    <row r="3" spans="1:11" s="6" customFormat="1">
      <c r="B3" s="531" t="s">
        <v>14</v>
      </c>
      <c r="C3" s="532"/>
      <c r="D3" s="532"/>
      <c r="E3" s="532"/>
      <c r="F3" s="212" t="s">
        <v>15</v>
      </c>
      <c r="G3" s="476" t="s">
        <v>598</v>
      </c>
      <c r="H3" s="477"/>
      <c r="I3" s="478"/>
      <c r="J3" s="478"/>
      <c r="K3" s="478"/>
    </row>
    <row r="4" spans="1:11" s="12" customFormat="1" ht="41.25" customHeight="1">
      <c r="A4" s="10" t="s">
        <v>288</v>
      </c>
      <c r="B4" s="11" t="s">
        <v>17</v>
      </c>
      <c r="C4" s="11" t="s">
        <v>18</v>
      </c>
      <c r="D4" s="11" t="s">
        <v>19</v>
      </c>
      <c r="E4" s="11" t="s">
        <v>215</v>
      </c>
      <c r="F4" s="213" t="s">
        <v>20</v>
      </c>
      <c r="G4" s="479" t="s">
        <v>597</v>
      </c>
      <c r="H4" s="480" t="s">
        <v>17</v>
      </c>
      <c r="I4" s="480" t="s">
        <v>18</v>
      </c>
      <c r="J4" s="480" t="s">
        <v>19</v>
      </c>
      <c r="K4" s="480" t="s">
        <v>599</v>
      </c>
    </row>
    <row r="5" spans="1:11" s="12" customFormat="1" ht="5.25" customHeight="1">
      <c r="A5" s="13"/>
      <c r="B5" s="14"/>
      <c r="C5" s="15"/>
      <c r="D5" s="15"/>
      <c r="E5" s="17"/>
      <c r="F5" s="16"/>
      <c r="G5" s="480"/>
      <c r="H5" s="480"/>
      <c r="I5" s="480"/>
      <c r="J5" s="480"/>
      <c r="K5" s="480"/>
    </row>
    <row r="6" spans="1:11" s="21" customFormat="1">
      <c r="A6" s="18">
        <v>1960</v>
      </c>
      <c r="B6" s="19">
        <v>2.33</v>
      </c>
      <c r="C6" s="19">
        <v>2.25</v>
      </c>
      <c r="D6" s="19">
        <v>0.43</v>
      </c>
      <c r="E6" s="19">
        <v>1.05</v>
      </c>
      <c r="F6" s="20">
        <v>1.69</v>
      </c>
      <c r="G6" s="481"/>
      <c r="H6" s="481"/>
      <c r="I6" s="481"/>
      <c r="J6" s="481"/>
      <c r="K6" s="481"/>
    </row>
    <row r="7" spans="1:11" s="21" customFormat="1">
      <c r="A7" s="18">
        <v>1961</v>
      </c>
      <c r="B7" s="19">
        <v>2.3199999999999998</v>
      </c>
      <c r="C7" s="19">
        <v>2.1800000000000002</v>
      </c>
      <c r="D7" s="19">
        <v>0.45</v>
      </c>
      <c r="E7" s="19">
        <v>1.06</v>
      </c>
      <c r="F7" s="20">
        <v>1.69</v>
      </c>
    </row>
    <row r="8" spans="1:11" s="21" customFormat="1">
      <c r="A8" s="18">
        <v>1962</v>
      </c>
      <c r="B8" s="19">
        <v>2.29</v>
      </c>
      <c r="C8" s="19">
        <v>2.13</v>
      </c>
      <c r="D8" s="19">
        <v>0.46</v>
      </c>
      <c r="E8" s="19">
        <v>1.07</v>
      </c>
      <c r="F8" s="20">
        <v>1.67</v>
      </c>
    </row>
    <row r="9" spans="1:11" s="21" customFormat="1">
      <c r="A9" s="18">
        <v>1963</v>
      </c>
      <c r="B9" s="19">
        <v>2.25</v>
      </c>
      <c r="C9" s="19">
        <v>2.06</v>
      </c>
      <c r="D9" s="19">
        <v>0.45</v>
      </c>
      <c r="E9" s="19">
        <v>1.07</v>
      </c>
      <c r="F9" s="20">
        <v>1.64</v>
      </c>
    </row>
    <row r="10" spans="1:11" s="21" customFormat="1">
      <c r="A10" s="18">
        <v>1964</v>
      </c>
      <c r="B10" s="19">
        <v>2.2000000000000002</v>
      </c>
      <c r="C10" s="19">
        <v>2.02</v>
      </c>
      <c r="D10" s="19">
        <v>0.45</v>
      </c>
      <c r="E10" s="19">
        <v>1.03</v>
      </c>
      <c r="F10" s="20">
        <v>1.63</v>
      </c>
    </row>
    <row r="11" spans="1:11" s="21" customFormat="1">
      <c r="A11" s="18">
        <v>1965</v>
      </c>
      <c r="B11" s="19">
        <v>2.12</v>
      </c>
      <c r="C11" s="19">
        <v>1.93</v>
      </c>
      <c r="D11" s="19">
        <v>0.44</v>
      </c>
      <c r="E11" s="19">
        <v>0.98</v>
      </c>
      <c r="F11" s="20">
        <v>1.59</v>
      </c>
    </row>
    <row r="12" spans="1:11" s="21" customFormat="1">
      <c r="A12" s="18">
        <v>1966</v>
      </c>
      <c r="B12" s="19">
        <v>2.09</v>
      </c>
      <c r="C12" s="19">
        <v>1.92</v>
      </c>
      <c r="D12" s="19">
        <v>0.43</v>
      </c>
      <c r="E12" s="19">
        <v>0.92</v>
      </c>
      <c r="F12" s="20">
        <v>1.56</v>
      </c>
    </row>
    <row r="13" spans="1:11" s="21" customFormat="1">
      <c r="A13" s="18">
        <v>1967</v>
      </c>
      <c r="B13" s="19">
        <v>2.04</v>
      </c>
      <c r="C13" s="19">
        <v>1.89</v>
      </c>
      <c r="D13" s="19">
        <v>0.42</v>
      </c>
      <c r="E13" s="19">
        <v>0.95</v>
      </c>
      <c r="F13" s="20">
        <v>1.55</v>
      </c>
    </row>
    <row r="14" spans="1:11" s="21" customFormat="1">
      <c r="A14" s="18">
        <v>1968</v>
      </c>
      <c r="B14" s="19">
        <v>1.99</v>
      </c>
      <c r="C14" s="19">
        <v>1.83</v>
      </c>
      <c r="D14" s="19">
        <v>0.4</v>
      </c>
      <c r="E14" s="19">
        <v>0.9</v>
      </c>
      <c r="F14" s="20">
        <v>1.54</v>
      </c>
    </row>
    <row r="15" spans="1:11" s="21" customFormat="1">
      <c r="A15" s="18">
        <v>1969</v>
      </c>
      <c r="B15" s="19">
        <v>2.1</v>
      </c>
      <c r="C15" s="19">
        <v>1.93</v>
      </c>
      <c r="D15" s="21">
        <v>0.41</v>
      </c>
      <c r="E15" s="19">
        <v>0.88</v>
      </c>
      <c r="F15" s="20">
        <v>1.54</v>
      </c>
    </row>
    <row r="16" spans="1:11" s="21" customFormat="1">
      <c r="A16" s="18">
        <v>1970</v>
      </c>
      <c r="B16" s="19">
        <v>2.13</v>
      </c>
      <c r="C16" s="19">
        <v>1.94</v>
      </c>
      <c r="D16" s="19">
        <v>0.42</v>
      </c>
      <c r="E16" s="19">
        <v>0.94</v>
      </c>
      <c r="F16" s="20">
        <v>1.59</v>
      </c>
    </row>
    <row r="17" spans="1:6" s="21" customFormat="1">
      <c r="A17" s="18">
        <v>1971</v>
      </c>
      <c r="B17" s="19">
        <v>2.12</v>
      </c>
      <c r="C17" s="19">
        <v>1.94</v>
      </c>
      <c r="D17" s="19">
        <v>0.43</v>
      </c>
      <c r="E17" s="19">
        <v>0.95</v>
      </c>
      <c r="F17" s="20">
        <v>1.68</v>
      </c>
    </row>
    <row r="18" spans="1:6" s="21" customFormat="1">
      <c r="A18" s="18">
        <v>1972</v>
      </c>
      <c r="B18" s="19">
        <v>2.16</v>
      </c>
      <c r="C18" s="19">
        <v>1.98</v>
      </c>
      <c r="D18" s="19">
        <v>0.44</v>
      </c>
      <c r="E18" s="19">
        <v>1</v>
      </c>
      <c r="F18" s="20">
        <v>1.77</v>
      </c>
    </row>
    <row r="19" spans="1:6" s="21" customFormat="1">
      <c r="A19" s="18">
        <v>1973</v>
      </c>
      <c r="B19" s="19">
        <v>2.21</v>
      </c>
      <c r="C19" s="19">
        <v>2.04</v>
      </c>
      <c r="D19" s="19">
        <v>0.53</v>
      </c>
      <c r="E19" s="19">
        <v>1.1599999999999999</v>
      </c>
      <c r="F19" s="20">
        <v>1.86</v>
      </c>
    </row>
    <row r="20" spans="1:6" s="21" customFormat="1">
      <c r="A20" s="18">
        <v>1974</v>
      </c>
      <c r="B20" s="19">
        <v>2.23</v>
      </c>
      <c r="C20" s="19">
        <v>2.0499999999999998</v>
      </c>
      <c r="D20" s="19">
        <v>0.5</v>
      </c>
      <c r="E20" s="19">
        <v>1.1000000000000001</v>
      </c>
      <c r="F20" s="20">
        <v>2.2999999999999998</v>
      </c>
    </row>
    <row r="21" spans="1:6" s="21" customFormat="1">
      <c r="A21" s="18">
        <v>1975</v>
      </c>
      <c r="B21" s="19">
        <v>2.19</v>
      </c>
      <c r="C21" s="19">
        <v>2.08</v>
      </c>
      <c r="D21" s="19">
        <v>0.62</v>
      </c>
      <c r="E21" s="19">
        <v>1.25</v>
      </c>
      <c r="F21" s="20">
        <v>2.7</v>
      </c>
    </row>
    <row r="22" spans="1:6" s="21" customFormat="1">
      <c r="A22" s="18">
        <v>1976</v>
      </c>
      <c r="B22" s="19">
        <v>2.23</v>
      </c>
      <c r="C22" s="19">
        <v>2.06</v>
      </c>
      <c r="D22" s="19">
        <v>0.6</v>
      </c>
      <c r="E22" s="19">
        <v>1.24</v>
      </c>
      <c r="F22" s="20">
        <v>2.89</v>
      </c>
    </row>
    <row r="23" spans="1:6" s="21" customFormat="1">
      <c r="A23" s="18">
        <v>1977</v>
      </c>
      <c r="B23" s="19">
        <v>2.38</v>
      </c>
      <c r="C23" s="19">
        <v>1.9</v>
      </c>
      <c r="D23" s="19">
        <v>0.67</v>
      </c>
      <c r="E23" s="19">
        <v>1.38</v>
      </c>
      <c r="F23" s="20">
        <v>3.21</v>
      </c>
    </row>
    <row r="24" spans="1:6" s="21" customFormat="1">
      <c r="A24" s="18">
        <v>1978</v>
      </c>
      <c r="B24" s="19">
        <v>2.62</v>
      </c>
      <c r="C24" s="19">
        <v>2.5</v>
      </c>
      <c r="D24" s="19">
        <v>0.72</v>
      </c>
      <c r="E24" s="19">
        <v>1.53</v>
      </c>
      <c r="F24" s="20">
        <v>3.46</v>
      </c>
    </row>
    <row r="25" spans="1:6" s="21" customFormat="1">
      <c r="A25" s="18">
        <v>1979</v>
      </c>
      <c r="B25" s="19">
        <v>2.67</v>
      </c>
      <c r="C25" s="19">
        <v>2.52</v>
      </c>
      <c r="D25" s="19">
        <v>0.8</v>
      </c>
      <c r="E25" s="19">
        <v>1.62</v>
      </c>
      <c r="F25" s="20">
        <v>3.82</v>
      </c>
    </row>
    <row r="26" spans="1:6" s="21" customFormat="1">
      <c r="A26" s="18">
        <v>1980</v>
      </c>
      <c r="B26" s="19">
        <v>2.95</v>
      </c>
      <c r="C26" s="19">
        <v>2.78</v>
      </c>
      <c r="D26" s="19">
        <v>0.98</v>
      </c>
      <c r="E26" s="19">
        <v>1.87</v>
      </c>
      <c r="F26" s="20">
        <v>4.49</v>
      </c>
    </row>
    <row r="27" spans="1:6" s="21" customFormat="1">
      <c r="A27" s="18">
        <v>1981</v>
      </c>
      <c r="B27" s="19">
        <v>3.38</v>
      </c>
      <c r="C27" s="19">
        <v>3.19</v>
      </c>
      <c r="D27" s="19">
        <v>1.3</v>
      </c>
      <c r="E27" s="19">
        <v>2.2400000000000002</v>
      </c>
      <c r="F27" s="20">
        <v>5.16</v>
      </c>
    </row>
    <row r="28" spans="1:6" s="21" customFormat="1">
      <c r="A28" s="18">
        <v>1982</v>
      </c>
      <c r="B28" s="19">
        <v>3.58</v>
      </c>
      <c r="C28" s="19">
        <v>3.3</v>
      </c>
      <c r="D28" s="19">
        <v>2.09</v>
      </c>
      <c r="E28" s="19">
        <v>2.81</v>
      </c>
      <c r="F28" s="20">
        <v>5.79</v>
      </c>
    </row>
    <row r="29" spans="1:6" s="21" customFormat="1">
      <c r="A29" s="18">
        <v>1983</v>
      </c>
      <c r="B29" s="19">
        <v>4.1900000000000004</v>
      </c>
      <c r="C29" s="19">
        <v>3.88</v>
      </c>
      <c r="D29" s="19">
        <v>2.37</v>
      </c>
      <c r="E29" s="19">
        <v>3.31</v>
      </c>
      <c r="F29" s="20">
        <v>6</v>
      </c>
    </row>
    <row r="30" spans="1:6" s="21" customFormat="1">
      <c r="A30" s="18">
        <v>1984</v>
      </c>
      <c r="B30" s="19">
        <v>4.3</v>
      </c>
      <c r="C30" s="19">
        <v>3.88</v>
      </c>
      <c r="D30" s="19">
        <v>2.57</v>
      </c>
      <c r="E30" s="19">
        <v>3.38</v>
      </c>
      <c r="F30" s="20">
        <v>6.27</v>
      </c>
    </row>
    <row r="31" spans="1:6" s="21" customFormat="1">
      <c r="A31" s="18">
        <v>1985</v>
      </c>
      <c r="B31" s="19">
        <v>4.7</v>
      </c>
      <c r="C31" s="19">
        <v>4.2</v>
      </c>
      <c r="D31" s="19">
        <v>2.5499999999999998</v>
      </c>
      <c r="E31" s="19">
        <v>3.56</v>
      </c>
      <c r="F31" s="20">
        <v>6.47</v>
      </c>
    </row>
    <row r="32" spans="1:6" s="21" customFormat="1">
      <c r="A32" s="18">
        <v>1986</v>
      </c>
      <c r="B32" s="19">
        <v>5.0199999999999996</v>
      </c>
      <c r="C32" s="19">
        <v>4.54</v>
      </c>
      <c r="D32" s="19">
        <v>2.6</v>
      </c>
      <c r="E32" s="19">
        <v>3.71</v>
      </c>
      <c r="F32" s="20">
        <v>6.47</v>
      </c>
    </row>
    <row r="33" spans="1:24" s="21" customFormat="1" ht="12.75" customHeight="1">
      <c r="A33" s="18">
        <v>1987</v>
      </c>
      <c r="B33" s="19">
        <v>5.23</v>
      </c>
      <c r="C33" s="19">
        <v>4.68</v>
      </c>
      <c r="D33" s="19">
        <v>2.72</v>
      </c>
      <c r="E33" s="19">
        <v>3.83</v>
      </c>
      <c r="F33" s="20">
        <v>6.39</v>
      </c>
    </row>
    <row r="34" spans="1:24" s="21" customFormat="1" ht="15" hidden="1" customHeight="1">
      <c r="A34" s="18">
        <v>1988</v>
      </c>
      <c r="B34" s="19">
        <v>5.41</v>
      </c>
      <c r="C34" s="19">
        <v>4.79</v>
      </c>
      <c r="D34" s="19">
        <v>3.16</v>
      </c>
      <c r="E34" s="19">
        <v>4.1399999999999997</v>
      </c>
      <c r="F34" s="20">
        <v>6.36</v>
      </c>
    </row>
    <row r="35" spans="1:24" s="21" customFormat="1" ht="12.75" customHeight="1">
      <c r="A35" s="18">
        <v>1989</v>
      </c>
      <c r="B35" s="19">
        <v>5.38</v>
      </c>
      <c r="C35" s="19">
        <v>4.68</v>
      </c>
      <c r="D35" s="19">
        <v>3.09</v>
      </c>
      <c r="E35" s="19">
        <v>4.09</v>
      </c>
      <c r="F35" s="20">
        <v>6.47</v>
      </c>
    </row>
    <row r="36" spans="1:24" s="21" customFormat="1">
      <c r="A36" s="18">
        <v>1990</v>
      </c>
      <c r="B36" s="19">
        <v>5.45</v>
      </c>
      <c r="C36" s="19">
        <v>4.68</v>
      </c>
      <c r="D36" s="19">
        <v>2.87</v>
      </c>
      <c r="E36" s="19">
        <v>3.96</v>
      </c>
      <c r="F36" s="20">
        <v>6.5710303831657866</v>
      </c>
      <c r="G36" s="450">
        <v>130.69999999999999</v>
      </c>
      <c r="H36" s="451">
        <f>B36*304.702/G36</f>
        <v>12.705630451415457</v>
      </c>
      <c r="I36" s="451">
        <f>C36*304.702/G36</f>
        <v>10.910523029839327</v>
      </c>
      <c r="J36" s="451">
        <f>D36*304.702/G36</f>
        <v>6.6908549349655706</v>
      </c>
      <c r="K36" s="451">
        <f>E36*304.702/G36</f>
        <v>9.2319810252486629</v>
      </c>
      <c r="L36" s="22"/>
      <c r="M36" s="22"/>
      <c r="N36" s="22"/>
      <c r="O36" s="22"/>
      <c r="P36" s="22"/>
      <c r="Q36" s="22"/>
      <c r="R36" s="22"/>
      <c r="S36" s="22"/>
      <c r="T36" s="22"/>
      <c r="U36" s="22"/>
      <c r="V36" s="22"/>
      <c r="W36" s="22"/>
      <c r="X36" s="22"/>
    </row>
    <row r="37" spans="1:24" s="21" customFormat="1">
      <c r="A37" s="18">
        <v>1991</v>
      </c>
      <c r="B37" s="19">
        <v>5.76</v>
      </c>
      <c r="C37" s="19">
        <v>5</v>
      </c>
      <c r="D37" s="19">
        <v>2.92</v>
      </c>
      <c r="E37" s="19">
        <v>4.1399999999999997</v>
      </c>
      <c r="F37" s="20">
        <v>6.747230239300424</v>
      </c>
      <c r="G37" s="450">
        <v>136.19999999999999</v>
      </c>
      <c r="H37" s="451">
        <f>B37*304.702/G37</f>
        <v>12.88607577092511</v>
      </c>
      <c r="I37" s="451">
        <f>C37*304.702/G37</f>
        <v>11.185829662261382</v>
      </c>
      <c r="J37" s="451">
        <f>D37*304.702/G37</f>
        <v>6.5325245227606468</v>
      </c>
      <c r="K37" s="451">
        <f>E37*304.702/G37</f>
        <v>9.2618669603524229</v>
      </c>
      <c r="L37" s="22"/>
      <c r="M37" s="22"/>
      <c r="N37" s="22"/>
      <c r="O37" s="22"/>
      <c r="P37" s="22"/>
      <c r="Q37" s="22"/>
      <c r="R37" s="22"/>
      <c r="S37" s="22"/>
      <c r="T37" s="22"/>
      <c r="U37" s="22"/>
      <c r="V37" s="22"/>
      <c r="W37" s="22"/>
    </row>
    <row r="38" spans="1:24" s="21" customFormat="1">
      <c r="A38" s="18">
        <v>1992</v>
      </c>
      <c r="B38" s="19">
        <v>5.84</v>
      </c>
      <c r="C38" s="19">
        <v>5.17</v>
      </c>
      <c r="D38" s="19">
        <v>2.89</v>
      </c>
      <c r="E38" s="19">
        <v>4.1900000000000004</v>
      </c>
      <c r="F38" s="20">
        <v>6.8206799561395979</v>
      </c>
      <c r="G38" s="450">
        <v>140.30000000000001</v>
      </c>
      <c r="H38" s="451">
        <f t="shared" ref="H38:H69" si="0">B38*304.702/G38</f>
        <v>12.683247897362792</v>
      </c>
      <c r="I38" s="451">
        <f t="shared" ref="I38:I69" si="1">C38*304.702/G38</f>
        <v>11.228149251603705</v>
      </c>
      <c r="J38" s="451">
        <f t="shared" ref="J38:J69" si="2">D38*304.702/G38</f>
        <v>6.2764702779757657</v>
      </c>
      <c r="K38" s="451">
        <f t="shared" ref="K38:K69" si="3">E38*304.702/G38</f>
        <v>9.0997960085531009</v>
      </c>
      <c r="L38" s="22"/>
      <c r="M38" s="22"/>
      <c r="N38" s="22"/>
      <c r="O38" s="22"/>
      <c r="P38" s="22"/>
      <c r="Q38" s="22"/>
      <c r="R38" s="22"/>
      <c r="S38" s="22"/>
      <c r="T38" s="22"/>
      <c r="U38" s="22"/>
      <c r="V38" s="22"/>
      <c r="W38" s="22"/>
    </row>
    <row r="39" spans="1:24" s="21" customFormat="1">
      <c r="A39" s="18">
        <v>1993</v>
      </c>
      <c r="B39" s="19">
        <v>5.77</v>
      </c>
      <c r="C39" s="19">
        <v>5.0999999999999996</v>
      </c>
      <c r="D39" s="19">
        <v>3.1</v>
      </c>
      <c r="E39" s="19">
        <v>4.3600000000000003</v>
      </c>
      <c r="F39" s="20">
        <v>6.927233865922183</v>
      </c>
      <c r="G39" s="450">
        <v>144.5</v>
      </c>
      <c r="H39" s="451">
        <f t="shared" si="0"/>
        <v>12.166993356401383</v>
      </c>
      <c r="I39" s="451">
        <f t="shared" si="1"/>
        <v>10.754188235294118</v>
      </c>
      <c r="J39" s="451">
        <f t="shared" si="2"/>
        <v>6.5368595155709341</v>
      </c>
      <c r="K39" s="451">
        <f t="shared" si="3"/>
        <v>9.19377660899654</v>
      </c>
      <c r="L39" s="22"/>
      <c r="M39" s="22"/>
      <c r="N39" s="22"/>
      <c r="O39" s="22"/>
      <c r="P39" s="22"/>
      <c r="Q39" s="22"/>
      <c r="R39" s="22"/>
      <c r="S39" s="22"/>
      <c r="T39" s="22"/>
      <c r="U39" s="22"/>
      <c r="V39" s="22"/>
      <c r="W39" s="22"/>
    </row>
    <row r="40" spans="1:24" s="21" customFormat="1">
      <c r="A40" s="18">
        <v>1994</v>
      </c>
      <c r="B40" s="19">
        <v>5.96</v>
      </c>
      <c r="C40" s="19">
        <v>5.17</v>
      </c>
      <c r="D40" s="19">
        <v>3.3</v>
      </c>
      <c r="E40" s="19">
        <v>4.51</v>
      </c>
      <c r="F40" s="20">
        <v>6.9075356428545716</v>
      </c>
      <c r="G40" s="450">
        <v>148.19999999999999</v>
      </c>
      <c r="H40" s="451">
        <f t="shared" si="0"/>
        <v>12.253872604588395</v>
      </c>
      <c r="I40" s="451">
        <f t="shared" si="1"/>
        <v>10.629617678812417</v>
      </c>
      <c r="J40" s="451">
        <f t="shared" si="2"/>
        <v>6.7848623481781374</v>
      </c>
      <c r="K40" s="451">
        <f t="shared" si="3"/>
        <v>9.2726452091767886</v>
      </c>
      <c r="L40" s="22"/>
      <c r="M40" s="22"/>
      <c r="N40" s="22"/>
      <c r="O40" s="22"/>
      <c r="P40" s="22"/>
      <c r="Q40" s="22"/>
      <c r="R40" s="22"/>
      <c r="S40" s="22"/>
      <c r="T40" s="22"/>
      <c r="U40" s="22"/>
      <c r="V40" s="22"/>
      <c r="W40" s="22"/>
    </row>
    <row r="41" spans="1:24" s="21" customFormat="1">
      <c r="A41" s="18">
        <v>1995</v>
      </c>
      <c r="B41" s="19">
        <v>6.09</v>
      </c>
      <c r="C41" s="19">
        <v>5.31</v>
      </c>
      <c r="D41" s="19">
        <v>3.44</v>
      </c>
      <c r="E41" s="19">
        <v>4.6500000000000004</v>
      </c>
      <c r="F41" s="20">
        <v>6.8933674521149717</v>
      </c>
      <c r="G41" s="450">
        <v>152.4</v>
      </c>
      <c r="H41" s="451">
        <f t="shared" si="0"/>
        <v>12.176083858267717</v>
      </c>
      <c r="I41" s="451">
        <f t="shared" si="1"/>
        <v>10.616585433070865</v>
      </c>
      <c r="J41" s="451">
        <f t="shared" si="2"/>
        <v>6.8777879265091864</v>
      </c>
      <c r="K41" s="451">
        <f t="shared" si="3"/>
        <v>9.2970098425196852</v>
      </c>
      <c r="L41" s="22"/>
      <c r="M41" s="22"/>
      <c r="N41" s="22"/>
      <c r="O41" s="22"/>
      <c r="P41" s="22"/>
      <c r="Q41" s="22"/>
      <c r="R41" s="22"/>
      <c r="S41" s="22"/>
      <c r="T41" s="22"/>
      <c r="U41" s="22"/>
      <c r="V41" s="22"/>
      <c r="W41" s="22"/>
    </row>
    <row r="42" spans="1:24" s="21" customFormat="1">
      <c r="A42" s="18">
        <v>1996</v>
      </c>
      <c r="B42" s="19">
        <v>6.22</v>
      </c>
      <c r="C42" s="19">
        <v>5.51</v>
      </c>
      <c r="D42" s="19">
        <v>3.3</v>
      </c>
      <c r="E42" s="19">
        <v>4.72</v>
      </c>
      <c r="F42" s="20">
        <v>6.8558489157692781</v>
      </c>
      <c r="G42" s="450">
        <v>156.9</v>
      </c>
      <c r="H42" s="451">
        <f t="shared" si="0"/>
        <v>12.079327214786487</v>
      </c>
      <c r="I42" s="451">
        <f t="shared" si="1"/>
        <v>10.70049725940089</v>
      </c>
      <c r="J42" s="451">
        <f t="shared" si="2"/>
        <v>6.4086462715105155</v>
      </c>
      <c r="K42" s="451">
        <f t="shared" si="3"/>
        <v>9.1663061822817085</v>
      </c>
      <c r="L42" s="22"/>
      <c r="M42" s="22"/>
      <c r="N42" s="22"/>
      <c r="O42" s="22"/>
      <c r="P42" s="22"/>
      <c r="Q42" s="22"/>
      <c r="R42" s="22"/>
      <c r="S42" s="22"/>
      <c r="T42" s="22"/>
      <c r="U42" s="22"/>
      <c r="V42" s="22"/>
      <c r="W42" s="22"/>
    </row>
    <row r="43" spans="1:24" s="21" customFormat="1">
      <c r="A43" s="18">
        <v>1997</v>
      </c>
      <c r="B43" s="19">
        <v>6.4</v>
      </c>
      <c r="C43" s="19">
        <v>5.8</v>
      </c>
      <c r="D43" s="19">
        <v>3.66</v>
      </c>
      <c r="E43" s="19">
        <v>5.2</v>
      </c>
      <c r="F43" s="20">
        <v>6.8455497841161472</v>
      </c>
      <c r="G43" s="450">
        <v>160.5</v>
      </c>
      <c r="H43" s="451">
        <f t="shared" si="0"/>
        <v>12.150110903426793</v>
      </c>
      <c r="I43" s="451">
        <f t="shared" si="1"/>
        <v>11.01103800623053</v>
      </c>
      <c r="J43" s="451">
        <f t="shared" si="2"/>
        <v>6.9483446728971963</v>
      </c>
      <c r="K43" s="451">
        <f t="shared" si="3"/>
        <v>9.8719651090342673</v>
      </c>
      <c r="L43" s="22"/>
      <c r="M43" s="22"/>
      <c r="N43" s="22"/>
      <c r="O43" s="22"/>
      <c r="P43" s="22"/>
      <c r="Q43" s="22"/>
      <c r="R43" s="22"/>
      <c r="S43" s="22"/>
      <c r="T43" s="22"/>
      <c r="U43" s="22"/>
      <c r="V43" s="22"/>
      <c r="W43" s="22"/>
    </row>
    <row r="44" spans="1:24" s="21" customFormat="1">
      <c r="A44" s="23">
        <v>1998</v>
      </c>
      <c r="B44" s="19">
        <v>6.5</v>
      </c>
      <c r="C44" s="19">
        <v>5.87</v>
      </c>
      <c r="D44" s="19">
        <v>3.19</v>
      </c>
      <c r="E44" s="19">
        <v>4.8</v>
      </c>
      <c r="F44" s="20">
        <v>6.7350678277677112</v>
      </c>
      <c r="G44" s="450">
        <v>163</v>
      </c>
      <c r="H44" s="451">
        <f t="shared" si="0"/>
        <v>12.150693251533744</v>
      </c>
      <c r="I44" s="451">
        <f t="shared" si="1"/>
        <v>10.973010674846627</v>
      </c>
      <c r="J44" s="451">
        <f t="shared" si="2"/>
        <v>5.9631863803680982</v>
      </c>
      <c r="K44" s="451">
        <f t="shared" si="3"/>
        <v>8.9728196319018405</v>
      </c>
      <c r="L44" s="22"/>
      <c r="M44" s="22"/>
      <c r="N44" s="22"/>
      <c r="O44" s="22"/>
      <c r="P44" s="22"/>
      <c r="Q44" s="22"/>
      <c r="R44" s="22"/>
      <c r="S44" s="22"/>
      <c r="T44" s="22"/>
      <c r="U44" s="22"/>
      <c r="V44" s="22"/>
      <c r="W44" s="22"/>
    </row>
    <row r="45" spans="1:24" s="21" customFormat="1">
      <c r="A45" s="23">
        <v>1999</v>
      </c>
      <c r="B45" s="19">
        <v>6.78</v>
      </c>
      <c r="C45" s="19">
        <v>6.35</v>
      </c>
      <c r="D45" s="19">
        <v>2.74</v>
      </c>
      <c r="E45" s="19">
        <v>4.7699999999999996</v>
      </c>
      <c r="F45" s="20">
        <v>6.6392000418305424</v>
      </c>
      <c r="G45" s="450">
        <v>166.6</v>
      </c>
      <c r="H45" s="451">
        <f t="shared" si="0"/>
        <v>12.400237454981992</v>
      </c>
      <c r="I45" s="451">
        <f t="shared" si="1"/>
        <v>11.613791716686674</v>
      </c>
      <c r="J45" s="451">
        <f t="shared" si="2"/>
        <v>5.0113054021608647</v>
      </c>
      <c r="K45" s="451">
        <f t="shared" si="3"/>
        <v>8.7240608643457378</v>
      </c>
      <c r="L45" s="22"/>
      <c r="M45" s="22"/>
      <c r="N45" s="22"/>
      <c r="O45" s="22"/>
      <c r="P45" s="22"/>
      <c r="Q45" s="22"/>
      <c r="R45" s="22"/>
      <c r="S45" s="22"/>
      <c r="T45" s="22"/>
      <c r="U45" s="22"/>
      <c r="V45" s="22"/>
      <c r="W45" s="22"/>
    </row>
    <row r="46" spans="1:24" s="21" customFormat="1">
      <c r="A46" s="23">
        <v>2000</v>
      </c>
      <c r="B46" s="19">
        <v>6.49</v>
      </c>
      <c r="C46" s="19">
        <v>5.6</v>
      </c>
      <c r="D46" s="19">
        <v>3.97</v>
      </c>
      <c r="E46" s="19">
        <v>5</v>
      </c>
      <c r="F46" s="24">
        <v>6.81</v>
      </c>
      <c r="G46" s="450">
        <v>172.2</v>
      </c>
      <c r="H46" s="451">
        <f t="shared" si="0"/>
        <v>11.483832636469224</v>
      </c>
      <c r="I46" s="451">
        <f t="shared" si="1"/>
        <v>9.9090081300813004</v>
      </c>
      <c r="J46" s="451">
        <f t="shared" si="2"/>
        <v>7.0247789779326375</v>
      </c>
      <c r="K46" s="451">
        <f t="shared" si="3"/>
        <v>8.8473286875725901</v>
      </c>
      <c r="L46" s="22"/>
      <c r="M46" s="22"/>
      <c r="N46" s="22"/>
      <c r="O46" s="22"/>
      <c r="P46" s="22"/>
      <c r="Q46" s="22"/>
      <c r="R46" s="22"/>
      <c r="S46" s="22"/>
      <c r="T46" s="22"/>
      <c r="U46" s="22"/>
      <c r="V46" s="22"/>
      <c r="W46" s="22"/>
    </row>
    <row r="47" spans="1:24" s="21" customFormat="1">
      <c r="A47" s="23">
        <v>2001</v>
      </c>
      <c r="B47" s="19">
        <v>6.88</v>
      </c>
      <c r="C47" s="19">
        <v>5.91</v>
      </c>
      <c r="D47" s="19">
        <v>6.59</v>
      </c>
      <c r="E47" s="19">
        <v>6.48</v>
      </c>
      <c r="F47" s="24">
        <v>7.29</v>
      </c>
      <c r="G47" s="450">
        <v>177.1</v>
      </c>
      <c r="H47" s="451">
        <f t="shared" si="0"/>
        <v>11.8370963297572</v>
      </c>
      <c r="I47" s="451">
        <f t="shared" si="1"/>
        <v>10.168203387916432</v>
      </c>
      <c r="J47" s="451">
        <f t="shared" si="2"/>
        <v>11.338148955392434</v>
      </c>
      <c r="K47" s="451">
        <f t="shared" si="3"/>
        <v>11.148893054771317</v>
      </c>
      <c r="L47" s="22"/>
      <c r="M47" s="22"/>
      <c r="N47" s="22"/>
      <c r="O47" s="22"/>
      <c r="P47" s="22"/>
      <c r="Q47" s="22"/>
      <c r="R47" s="22"/>
      <c r="S47" s="22"/>
      <c r="T47" s="22"/>
      <c r="U47" s="22"/>
      <c r="V47" s="22"/>
      <c r="W47" s="22"/>
    </row>
    <row r="48" spans="1:24" s="21" customFormat="1">
      <c r="A48" s="23">
        <v>2002</v>
      </c>
      <c r="B48" s="19">
        <v>7.23</v>
      </c>
      <c r="C48" s="19">
        <v>6.28</v>
      </c>
      <c r="D48" s="19">
        <v>3.71</v>
      </c>
      <c r="E48" s="19">
        <v>5.7</v>
      </c>
      <c r="F48" s="24">
        <v>7.2</v>
      </c>
      <c r="G48" s="450">
        <v>179.88</v>
      </c>
      <c r="H48" s="451">
        <f t="shared" si="0"/>
        <v>12.247028352234825</v>
      </c>
      <c r="I48" s="451">
        <f t="shared" si="1"/>
        <v>10.637806092950857</v>
      </c>
      <c r="J48" s="451">
        <f t="shared" si="2"/>
        <v>6.2844364020458086</v>
      </c>
      <c r="K48" s="451">
        <f t="shared" si="3"/>
        <v>9.6553335557038036</v>
      </c>
      <c r="L48" s="22"/>
      <c r="M48" s="22"/>
      <c r="N48" s="22"/>
      <c r="O48" s="22"/>
      <c r="P48" s="22"/>
      <c r="Q48" s="22"/>
      <c r="R48" s="22"/>
      <c r="S48" s="22"/>
      <c r="T48" s="22"/>
      <c r="U48" s="22"/>
      <c r="V48" s="22"/>
      <c r="W48" s="22"/>
    </row>
    <row r="49" spans="1:26" s="21" customFormat="1">
      <c r="A49" s="23">
        <v>2003</v>
      </c>
      <c r="B49" s="19">
        <v>7.56</v>
      </c>
      <c r="C49" s="19">
        <v>6.85</v>
      </c>
      <c r="D49" s="19">
        <v>4.03</v>
      </c>
      <c r="E49" s="19">
        <v>6.14</v>
      </c>
      <c r="F49" s="24">
        <v>7.44</v>
      </c>
      <c r="G49" s="450">
        <v>183.96</v>
      </c>
      <c r="H49" s="451">
        <f t="shared" si="0"/>
        <v>12.521999999999998</v>
      </c>
      <c r="I49" s="451">
        <f t="shared" si="1"/>
        <v>11.345992063492062</v>
      </c>
      <c r="J49" s="451">
        <f t="shared" si="2"/>
        <v>6.6750873015873022</v>
      </c>
      <c r="K49" s="451">
        <f t="shared" si="3"/>
        <v>10.169984126984126</v>
      </c>
      <c r="L49" s="22"/>
      <c r="M49" s="22"/>
      <c r="N49" s="22"/>
      <c r="O49" s="22"/>
      <c r="P49" s="22"/>
      <c r="Q49" s="22"/>
      <c r="R49" s="22"/>
      <c r="S49" s="22"/>
      <c r="T49" s="22"/>
      <c r="U49" s="22"/>
      <c r="V49" s="22"/>
      <c r="W49" s="22"/>
    </row>
    <row r="50" spans="1:26" s="21" customFormat="1">
      <c r="A50" s="23">
        <v>2004</v>
      </c>
      <c r="B50" s="19">
        <v>7.86</v>
      </c>
      <c r="C50" s="19">
        <v>7.42</v>
      </c>
      <c r="D50" s="19">
        <v>4.1500000000000004</v>
      </c>
      <c r="E50" s="19">
        <v>6.4</v>
      </c>
      <c r="F50" s="24">
        <v>7.61</v>
      </c>
      <c r="G50" s="450">
        <v>188.9</v>
      </c>
      <c r="H50" s="451">
        <f t="shared" si="0"/>
        <v>12.678442138697722</v>
      </c>
      <c r="I50" s="451">
        <f t="shared" si="1"/>
        <v>11.968707464266808</v>
      </c>
      <c r="J50" s="451">
        <f t="shared" si="2"/>
        <v>6.6940884065643198</v>
      </c>
      <c r="K50" s="451">
        <f t="shared" si="3"/>
        <v>10.323413446267867</v>
      </c>
      <c r="L50" s="22"/>
      <c r="M50" s="22"/>
      <c r="N50" s="22"/>
      <c r="O50" s="22"/>
      <c r="P50" s="22"/>
      <c r="Q50" s="22"/>
      <c r="R50" s="22"/>
      <c r="S50" s="22"/>
      <c r="T50" s="22"/>
      <c r="U50" s="22"/>
      <c r="V50" s="22"/>
      <c r="W50" s="22"/>
    </row>
    <row r="51" spans="1:26" s="21" customFormat="1">
      <c r="A51" s="23">
        <v>2005</v>
      </c>
      <c r="B51" s="19">
        <v>8.1</v>
      </c>
      <c r="C51" s="19">
        <v>7.43</v>
      </c>
      <c r="D51" s="19">
        <v>4.83</v>
      </c>
      <c r="E51" s="19">
        <v>6.72</v>
      </c>
      <c r="F51" s="24">
        <v>8.14</v>
      </c>
      <c r="G51" s="450">
        <v>195.3</v>
      </c>
      <c r="H51" s="451">
        <f t="shared" si="0"/>
        <v>12.637410138248846</v>
      </c>
      <c r="I51" s="451">
        <f t="shared" si="1"/>
        <v>11.59209349718382</v>
      </c>
      <c r="J51" s="451">
        <f t="shared" si="2"/>
        <v>7.5356408602150529</v>
      </c>
      <c r="K51" s="451">
        <f t="shared" si="3"/>
        <v>10.484369892473119</v>
      </c>
      <c r="L51" s="22"/>
      <c r="M51" s="22"/>
      <c r="N51" s="22"/>
      <c r="O51" s="22"/>
      <c r="P51" s="22"/>
      <c r="Q51" s="22"/>
      <c r="R51" s="22"/>
      <c r="S51" s="22"/>
      <c r="T51" s="22"/>
      <c r="U51" s="22"/>
      <c r="V51" s="22"/>
      <c r="W51" s="22"/>
    </row>
    <row r="52" spans="1:26" s="21" customFormat="1">
      <c r="A52" s="23">
        <v>2006</v>
      </c>
      <c r="B52" s="19">
        <v>8.2799999999999994</v>
      </c>
      <c r="C52" s="19">
        <v>7.44</v>
      </c>
      <c r="D52" s="19">
        <v>5.12</v>
      </c>
      <c r="E52" s="19">
        <v>6.91</v>
      </c>
      <c r="F52" s="24">
        <v>8.9</v>
      </c>
      <c r="G52" s="450">
        <v>201.6</v>
      </c>
      <c r="H52" s="451">
        <f t="shared" si="0"/>
        <v>12.514546428571428</v>
      </c>
      <c r="I52" s="451">
        <f t="shared" si="1"/>
        <v>11.244954761904763</v>
      </c>
      <c r="J52" s="451">
        <f t="shared" si="2"/>
        <v>7.7384634920634916</v>
      </c>
      <c r="K52" s="451">
        <f t="shared" si="3"/>
        <v>10.443902876984128</v>
      </c>
      <c r="L52" s="22"/>
      <c r="M52" s="22"/>
      <c r="N52" s="22"/>
      <c r="O52" s="22"/>
      <c r="P52" s="22"/>
      <c r="Q52" s="22"/>
      <c r="R52" s="22"/>
      <c r="S52" s="22"/>
      <c r="T52" s="22"/>
      <c r="U52" s="22"/>
      <c r="V52" s="22"/>
      <c r="W52" s="22"/>
    </row>
    <row r="53" spans="1:26" s="21" customFormat="1">
      <c r="A53" s="23">
        <v>2007</v>
      </c>
      <c r="B53" s="19">
        <v>8.77</v>
      </c>
      <c r="C53" s="19">
        <v>8.1</v>
      </c>
      <c r="D53" s="19">
        <v>5.16</v>
      </c>
      <c r="E53" s="19">
        <v>7.13</v>
      </c>
      <c r="F53" s="24">
        <v>9.1300000000000008</v>
      </c>
      <c r="G53" s="450">
        <v>207.34200000000001</v>
      </c>
      <c r="H53" s="451">
        <f t="shared" si="0"/>
        <v>12.888061945963672</v>
      </c>
      <c r="I53" s="451">
        <f t="shared" si="1"/>
        <v>11.903455161038282</v>
      </c>
      <c r="J53" s="451">
        <f t="shared" si="2"/>
        <v>7.5829418062910552</v>
      </c>
      <c r="K53" s="451">
        <f t="shared" si="3"/>
        <v>10.47797966644481</v>
      </c>
      <c r="L53" s="22"/>
      <c r="M53" s="22"/>
      <c r="N53" s="22"/>
      <c r="O53" s="22"/>
      <c r="P53" s="22"/>
      <c r="Q53" s="22"/>
      <c r="R53" s="22"/>
      <c r="S53" s="22"/>
      <c r="T53" s="22"/>
      <c r="U53" s="22"/>
      <c r="V53" s="22"/>
      <c r="W53" s="22"/>
    </row>
    <row r="54" spans="1:26" s="21" customFormat="1">
      <c r="A54" s="23">
        <v>2008</v>
      </c>
      <c r="B54" s="19">
        <v>9.1300000000000008</v>
      </c>
      <c r="C54" s="19">
        <v>8.5399999999999991</v>
      </c>
      <c r="D54" s="19">
        <v>5.9</v>
      </c>
      <c r="E54" s="19">
        <v>7.72</v>
      </c>
      <c r="F54" s="24">
        <v>9.74</v>
      </c>
      <c r="G54" s="450">
        <v>215.303</v>
      </c>
      <c r="H54" s="451">
        <f t="shared" si="0"/>
        <v>12.920996270372454</v>
      </c>
      <c r="I54" s="451">
        <f t="shared" si="1"/>
        <v>12.086014036032937</v>
      </c>
      <c r="J54" s="451">
        <f t="shared" si="2"/>
        <v>8.3498223433951217</v>
      </c>
      <c r="K54" s="451">
        <f t="shared" si="3"/>
        <v>10.925530252713617</v>
      </c>
      <c r="L54" s="22"/>
      <c r="M54" s="22"/>
      <c r="N54" s="22"/>
      <c r="O54" s="22"/>
      <c r="P54" s="22"/>
      <c r="Q54" s="22"/>
      <c r="R54" s="22"/>
      <c r="S54" s="22"/>
      <c r="T54" s="22"/>
      <c r="U54" s="22"/>
      <c r="V54" s="22"/>
      <c r="W54" s="22"/>
    </row>
    <row r="55" spans="1:26" s="21" customFormat="1">
      <c r="A55" s="23">
        <v>2009</v>
      </c>
      <c r="B55" s="19">
        <v>8.93</v>
      </c>
      <c r="C55" s="19">
        <v>8.32</v>
      </c>
      <c r="D55" s="19">
        <v>5.45</v>
      </c>
      <c r="E55" s="19">
        <v>7.57</v>
      </c>
      <c r="F55" s="24">
        <v>9.82</v>
      </c>
      <c r="G55" s="450">
        <v>214.53700000000001</v>
      </c>
      <c r="H55" s="451">
        <f t="shared" si="0"/>
        <v>12.683074994056968</v>
      </c>
      <c r="I55" s="451">
        <f t="shared" si="1"/>
        <v>11.816705929513324</v>
      </c>
      <c r="J55" s="451">
        <f t="shared" si="2"/>
        <v>7.7405104946932228</v>
      </c>
      <c r="K55" s="451">
        <f t="shared" si="3"/>
        <v>10.751498063271137</v>
      </c>
      <c r="L55" s="22"/>
      <c r="M55" s="22"/>
      <c r="N55" s="22"/>
      <c r="O55" s="22"/>
      <c r="P55" s="22"/>
      <c r="Q55" s="22"/>
      <c r="R55" s="22"/>
      <c r="S55" s="22"/>
      <c r="T55" s="22"/>
      <c r="U55" s="22"/>
      <c r="V55" s="22"/>
      <c r="W55" s="22"/>
    </row>
    <row r="56" spans="1:26" s="21" customFormat="1">
      <c r="A56" s="23">
        <v>2010</v>
      </c>
      <c r="B56" s="19">
        <v>9.16</v>
      </c>
      <c r="C56" s="19">
        <v>8.5500000000000007</v>
      </c>
      <c r="D56" s="19">
        <v>5.49</v>
      </c>
      <c r="E56" s="19">
        <v>7.88</v>
      </c>
      <c r="F56" s="24">
        <v>9.83</v>
      </c>
      <c r="G56" s="450">
        <v>218.05600000000001</v>
      </c>
      <c r="H56" s="451">
        <f t="shared" si="0"/>
        <v>12.79978684374656</v>
      </c>
      <c r="I56" s="451">
        <f t="shared" si="1"/>
        <v>11.947399291925011</v>
      </c>
      <c r="J56" s="451">
        <f t="shared" si="2"/>
        <v>7.6714879663939541</v>
      </c>
      <c r="K56" s="451">
        <f t="shared" si="3"/>
        <v>11.011170341563634</v>
      </c>
      <c r="L56" s="22"/>
      <c r="M56" s="22"/>
      <c r="N56" s="22"/>
      <c r="O56" s="22"/>
      <c r="P56" s="22"/>
      <c r="Q56" s="22"/>
      <c r="R56" s="22"/>
      <c r="S56" s="22"/>
      <c r="T56" s="22"/>
      <c r="U56" s="22"/>
      <c r="V56" s="22"/>
      <c r="W56" s="22"/>
    </row>
    <row r="57" spans="1:26" s="21" customFormat="1">
      <c r="A57" s="23">
        <v>2011</v>
      </c>
      <c r="B57" s="19">
        <v>9.75</v>
      </c>
      <c r="C57" s="19">
        <v>9.1199999999999992</v>
      </c>
      <c r="D57" s="19">
        <v>5.27</v>
      </c>
      <c r="E57" s="208">
        <v>8.23</v>
      </c>
      <c r="F57" s="114">
        <v>9.9</v>
      </c>
      <c r="G57" s="450">
        <v>224.93899999999999</v>
      </c>
      <c r="H57" s="451">
        <f t="shared" si="0"/>
        <v>13.207333988325725</v>
      </c>
      <c r="I57" s="451">
        <f t="shared" si="1"/>
        <v>12.353937022926216</v>
      </c>
      <c r="J57" s="451">
        <f t="shared" si="2"/>
        <v>7.1387333454847752</v>
      </c>
      <c r="K57" s="451">
        <f t="shared" si="3"/>
        <v>11.14834448450469</v>
      </c>
      <c r="L57" s="22"/>
      <c r="M57" s="22"/>
      <c r="N57" s="22"/>
      <c r="O57" s="22"/>
      <c r="P57" s="22"/>
      <c r="Q57" s="22"/>
      <c r="R57" s="22"/>
      <c r="S57" s="22"/>
      <c r="T57" s="22"/>
      <c r="U57" s="22"/>
      <c r="V57" s="22"/>
      <c r="W57" s="22"/>
    </row>
    <row r="58" spans="1:26" s="21" customFormat="1">
      <c r="A58" s="23">
        <v>2012</v>
      </c>
      <c r="B58" s="19">
        <v>10.08</v>
      </c>
      <c r="C58" s="19">
        <v>9.1300000000000008</v>
      </c>
      <c r="D58" s="19">
        <v>5.0999999999999996</v>
      </c>
      <c r="E58" s="208">
        <v>8.25</v>
      </c>
      <c r="F58" s="114">
        <v>9.84</v>
      </c>
      <c r="G58" s="450">
        <v>229.59399999999999</v>
      </c>
      <c r="H58" s="451">
        <f t="shared" si="0"/>
        <v>13.377510562122703</v>
      </c>
      <c r="I58" s="451">
        <f t="shared" si="1"/>
        <v>12.116733277002014</v>
      </c>
      <c r="J58" s="451">
        <f t="shared" si="2"/>
        <v>6.7683833201216057</v>
      </c>
      <c r="K58" s="451">
        <f t="shared" si="3"/>
        <v>10.948855370784949</v>
      </c>
      <c r="L58" s="22"/>
      <c r="M58" s="22"/>
      <c r="N58" s="22"/>
      <c r="O58" s="22"/>
      <c r="P58" s="22"/>
      <c r="Q58" s="22"/>
      <c r="R58" s="22"/>
      <c r="S58" s="22"/>
      <c r="T58" s="22"/>
      <c r="U58" s="22"/>
      <c r="V58" s="22"/>
      <c r="W58" s="22"/>
    </row>
    <row r="59" spans="1:26" s="21" customFormat="1" ht="15">
      <c r="A59" s="23">
        <v>2013</v>
      </c>
      <c r="B59" s="19">
        <v>10.33</v>
      </c>
      <c r="C59" s="19">
        <v>9.5399999999999991</v>
      </c>
      <c r="D59" s="19">
        <v>5.43</v>
      </c>
      <c r="E59" s="208">
        <v>8.58</v>
      </c>
      <c r="F59" s="114">
        <v>10.119999999999999</v>
      </c>
      <c r="G59" s="452">
        <v>232.95699999999999</v>
      </c>
      <c r="H59" s="451">
        <f t="shared" si="0"/>
        <v>13.511384761994703</v>
      </c>
      <c r="I59" s="451">
        <f t="shared" si="1"/>
        <v>12.478084281648544</v>
      </c>
      <c r="J59" s="451">
        <f t="shared" si="2"/>
        <v>7.1023058332653664</v>
      </c>
      <c r="K59" s="451">
        <f t="shared" si="3"/>
        <v>11.222428001734226</v>
      </c>
      <c r="L59" s="22"/>
      <c r="M59" s="22"/>
      <c r="N59" s="22"/>
      <c r="O59" s="22"/>
      <c r="P59" s="22"/>
      <c r="Q59" s="22"/>
      <c r="R59" s="22"/>
      <c r="S59" s="22"/>
      <c r="T59" s="22"/>
      <c r="U59" s="22"/>
      <c r="V59" s="22"/>
      <c r="W59" s="22"/>
    </row>
    <row r="60" spans="1:26" s="21" customFormat="1">
      <c r="A60" s="23">
        <v>2014</v>
      </c>
      <c r="B60" s="19">
        <v>10.18</v>
      </c>
      <c r="C60" s="19">
        <v>9.64</v>
      </c>
      <c r="D60" s="19">
        <v>5.49</v>
      </c>
      <c r="E60" s="19">
        <v>8.59</v>
      </c>
      <c r="F60" s="214">
        <v>10.44</v>
      </c>
      <c r="G60" s="450">
        <v>236.73599999999999</v>
      </c>
      <c r="H60" s="451">
        <f t="shared" si="0"/>
        <v>13.102639057853475</v>
      </c>
      <c r="I60" s="451">
        <f t="shared" si="1"/>
        <v>12.407607123546905</v>
      </c>
      <c r="J60" s="451">
        <f t="shared" si="2"/>
        <v>7.0661579987834555</v>
      </c>
      <c r="K60" s="451">
        <f t="shared" si="3"/>
        <v>11.05615614017302</v>
      </c>
      <c r="L60" s="22"/>
      <c r="M60" s="22"/>
      <c r="N60" s="22"/>
      <c r="O60" s="22"/>
      <c r="P60" s="22"/>
      <c r="Q60" s="22"/>
      <c r="R60" s="22"/>
      <c r="S60" s="22"/>
      <c r="T60" s="22"/>
      <c r="U60" s="22"/>
      <c r="V60" s="22"/>
      <c r="W60" s="22"/>
    </row>
    <row r="61" spans="1:26" s="21" customFormat="1">
      <c r="A61" s="23">
        <v>2015</v>
      </c>
      <c r="B61" s="19">
        <v>10.88</v>
      </c>
      <c r="C61" s="19">
        <v>10.23</v>
      </c>
      <c r="D61" s="19">
        <v>5.32</v>
      </c>
      <c r="E61" s="208">
        <v>8.9</v>
      </c>
      <c r="F61" s="114">
        <v>10.41</v>
      </c>
      <c r="G61" s="450">
        <v>237.017</v>
      </c>
      <c r="H61" s="451">
        <f t="shared" si="0"/>
        <v>13.98700413894362</v>
      </c>
      <c r="I61" s="451">
        <f t="shared" si="1"/>
        <v>13.151383487260409</v>
      </c>
      <c r="J61" s="451">
        <f t="shared" si="2"/>
        <v>6.8392336414687556</v>
      </c>
      <c r="K61" s="451">
        <f t="shared" si="3"/>
        <v>11.441575076893219</v>
      </c>
      <c r="L61" s="22"/>
      <c r="M61" s="22"/>
      <c r="N61" s="22"/>
      <c r="O61" s="22"/>
      <c r="P61" s="22"/>
      <c r="Q61" s="22"/>
      <c r="R61" s="22"/>
      <c r="S61" s="22"/>
      <c r="T61" s="22"/>
      <c r="U61" s="22"/>
      <c r="V61" s="22"/>
      <c r="W61" s="22"/>
    </row>
    <row r="62" spans="1:26">
      <c r="A62" s="23">
        <v>2016</v>
      </c>
      <c r="B62" s="19">
        <v>10.94</v>
      </c>
      <c r="C62" s="19">
        <v>10.19</v>
      </c>
      <c r="D62" s="19">
        <v>5.0599999999999996</v>
      </c>
      <c r="E62" s="208">
        <v>8.84</v>
      </c>
      <c r="F62" s="114">
        <v>10.27</v>
      </c>
      <c r="G62" s="450">
        <v>240.00800000000001</v>
      </c>
      <c r="H62" s="451">
        <f t="shared" si="0"/>
        <v>13.888869871004299</v>
      </c>
      <c r="I62" s="451">
        <f t="shared" si="1"/>
        <v>12.936707859738007</v>
      </c>
      <c r="J62" s="451">
        <f t="shared" si="2"/>
        <v>6.4239197026765762</v>
      </c>
      <c r="K62" s="451">
        <f t="shared" si="3"/>
        <v>11.222816239458686</v>
      </c>
      <c r="S62" s="22"/>
      <c r="T62" s="22"/>
      <c r="U62" s="22"/>
      <c r="V62" s="22"/>
      <c r="W62" s="22"/>
      <c r="X62" s="22"/>
      <c r="Y62" s="22"/>
      <c r="Z62" s="22"/>
    </row>
    <row r="63" spans="1:26">
      <c r="A63" s="23">
        <v>2017</v>
      </c>
      <c r="B63" s="329">
        <v>10.95</v>
      </c>
      <c r="C63" s="19">
        <v>10.119999999999999</v>
      </c>
      <c r="D63" s="19">
        <v>5.25</v>
      </c>
      <c r="E63" s="208">
        <v>8.92</v>
      </c>
      <c r="F63" s="114">
        <v>10.48</v>
      </c>
      <c r="G63" s="450">
        <v>245.12</v>
      </c>
      <c r="H63" s="451">
        <f t="shared" si="0"/>
        <v>13.611646948433419</v>
      </c>
      <c r="I63" s="451">
        <f t="shared" si="1"/>
        <v>12.579896540469973</v>
      </c>
      <c r="J63" s="451">
        <f t="shared" si="2"/>
        <v>6.526132098563969</v>
      </c>
      <c r="K63" s="451">
        <f t="shared" si="3"/>
        <v>11.088209203655351</v>
      </c>
      <c r="S63" s="22"/>
      <c r="T63" s="22"/>
      <c r="U63" s="22"/>
      <c r="V63" s="22"/>
      <c r="W63" s="22"/>
      <c r="X63" s="22"/>
      <c r="Y63" s="22"/>
      <c r="Z63" s="22"/>
    </row>
    <row r="64" spans="1:26">
      <c r="A64" s="23">
        <v>2018</v>
      </c>
      <c r="B64" s="329">
        <v>10.96</v>
      </c>
      <c r="C64" s="19">
        <v>10.11</v>
      </c>
      <c r="D64" s="19">
        <v>5.19</v>
      </c>
      <c r="E64" s="208">
        <v>8.84</v>
      </c>
      <c r="F64" s="114">
        <v>10.53</v>
      </c>
      <c r="G64" s="450">
        <v>251.107</v>
      </c>
      <c r="H64" s="451">
        <f t="shared" si="0"/>
        <v>13.299246615984423</v>
      </c>
      <c r="I64" s="451">
        <f t="shared" si="1"/>
        <v>12.267826942299497</v>
      </c>
      <c r="J64" s="451">
        <f t="shared" si="2"/>
        <v>6.29772718402912</v>
      </c>
      <c r="K64" s="451">
        <f t="shared" si="3"/>
        <v>10.726764606323201</v>
      </c>
      <c r="S64" s="22"/>
      <c r="T64" s="22"/>
      <c r="U64" s="22"/>
      <c r="V64" s="22"/>
      <c r="W64" s="22"/>
      <c r="X64" s="22"/>
      <c r="Y64" s="22"/>
      <c r="Z64" s="22"/>
    </row>
    <row r="65" spans="1:26">
      <c r="A65" s="23">
        <v>2019</v>
      </c>
      <c r="B65" s="19">
        <v>11.13</v>
      </c>
      <c r="C65" s="19">
        <v>10.41</v>
      </c>
      <c r="D65" s="19">
        <v>5.45</v>
      </c>
      <c r="E65" s="208">
        <v>9.02</v>
      </c>
      <c r="F65" s="114">
        <v>10.54</v>
      </c>
      <c r="G65" s="450">
        <v>255.65700000000001</v>
      </c>
      <c r="H65" s="451">
        <f t="shared" si="0"/>
        <v>13.265168800384892</v>
      </c>
      <c r="I65" s="451">
        <f t="shared" si="1"/>
        <v>12.407044673136271</v>
      </c>
      <c r="J65" s="451">
        <f t="shared" si="2"/>
        <v>6.4955229076457908</v>
      </c>
      <c r="K65" s="451">
        <f t="shared" si="3"/>
        <v>10.750388371920188</v>
      </c>
      <c r="S65" s="22"/>
      <c r="T65" s="22"/>
      <c r="U65" s="22"/>
      <c r="V65" s="22"/>
      <c r="W65" s="22"/>
      <c r="X65" s="22"/>
      <c r="Y65" s="22"/>
      <c r="Z65" s="22"/>
    </row>
    <row r="66" spans="1:26">
      <c r="A66" s="23">
        <v>2020</v>
      </c>
      <c r="B66" s="19">
        <v>11.24</v>
      </c>
      <c r="C66" s="19">
        <v>10.51</v>
      </c>
      <c r="D66" s="19">
        <v>5.18</v>
      </c>
      <c r="E66" s="208">
        <v>9.1300000000000008</v>
      </c>
      <c r="F66" s="114">
        <v>10.59</v>
      </c>
      <c r="G66" s="450">
        <v>258.81099999999998</v>
      </c>
      <c r="H66" s="451">
        <f t="shared" si="0"/>
        <v>13.233017452890335</v>
      </c>
      <c r="I66" s="451">
        <f t="shared" si="1"/>
        <v>12.373577707284468</v>
      </c>
      <c r="J66" s="451">
        <f t="shared" si="2"/>
        <v>6.0984902496416309</v>
      </c>
      <c r="K66" s="451">
        <f t="shared" si="3"/>
        <v>10.748883393673378</v>
      </c>
      <c r="S66" s="22"/>
      <c r="T66" s="22"/>
      <c r="U66" s="22"/>
      <c r="V66" s="22"/>
      <c r="W66" s="22"/>
      <c r="X66" s="22"/>
      <c r="Y66" s="22"/>
      <c r="Z66" s="22"/>
    </row>
    <row r="67" spans="1:26">
      <c r="A67" s="23">
        <v>2021</v>
      </c>
      <c r="B67" s="19">
        <v>11.22</v>
      </c>
      <c r="C67" s="19">
        <v>10.54</v>
      </c>
      <c r="D67" s="19">
        <v>6.24</v>
      </c>
      <c r="E67" s="208">
        <v>9.5</v>
      </c>
      <c r="F67" s="114">
        <v>11.1</v>
      </c>
      <c r="G67" s="450">
        <v>270.97000000000003</v>
      </c>
      <c r="H67" s="451">
        <f t="shared" si="0"/>
        <v>12.61673410340628</v>
      </c>
      <c r="I67" s="451">
        <f t="shared" si="1"/>
        <v>11.852083551684686</v>
      </c>
      <c r="J67" s="451">
        <f t="shared" si="2"/>
        <v>7.0167932981510868</v>
      </c>
      <c r="K67" s="451">
        <f t="shared" si="3"/>
        <v>10.682618001992839</v>
      </c>
      <c r="S67" s="22"/>
      <c r="T67" s="22"/>
      <c r="U67" s="22"/>
      <c r="V67" s="22"/>
      <c r="W67" s="22"/>
      <c r="X67" s="22"/>
      <c r="Y67" s="22"/>
      <c r="Z67" s="22"/>
    </row>
    <row r="68" spans="1:26" ht="15">
      <c r="A68" s="397">
        <v>2022</v>
      </c>
      <c r="B68" s="329">
        <v>11.37</v>
      </c>
      <c r="C68" s="19">
        <v>10.7</v>
      </c>
      <c r="D68" s="19">
        <v>7.43</v>
      </c>
      <c r="E68" s="208">
        <v>9.9700000000000006</v>
      </c>
      <c r="F68" s="114">
        <v>12.49</v>
      </c>
      <c r="G68" s="292">
        <v>292.65499999999997</v>
      </c>
      <c r="H68" s="451">
        <f t="shared" si="0"/>
        <v>11.838040491363552</v>
      </c>
      <c r="I68" s="451">
        <f t="shared" si="1"/>
        <v>11.140460268917325</v>
      </c>
      <c r="J68" s="451">
        <f t="shared" si="2"/>
        <v>7.7358523175753025</v>
      </c>
      <c r="K68" s="451">
        <f t="shared" si="3"/>
        <v>10.380410175804275</v>
      </c>
      <c r="S68" s="22"/>
      <c r="T68" s="22"/>
      <c r="U68" s="22"/>
      <c r="V68" s="22"/>
      <c r="W68" s="22"/>
      <c r="X68" s="22"/>
      <c r="Y68" s="22"/>
      <c r="Z68" s="22"/>
    </row>
    <row r="69" spans="1:26">
      <c r="A69" s="397">
        <v>2023</v>
      </c>
      <c r="B69" s="448">
        <v>12.54</v>
      </c>
      <c r="C69" s="449">
        <v>12.11</v>
      </c>
      <c r="D69" s="449">
        <v>7.8</v>
      </c>
      <c r="E69" s="19">
        <v>10.97</v>
      </c>
      <c r="F69" s="329">
        <v>12.68</v>
      </c>
      <c r="G69" s="453">
        <v>304.702</v>
      </c>
      <c r="H69" s="453">
        <f t="shared" si="0"/>
        <v>12.54</v>
      </c>
      <c r="I69" s="453">
        <f t="shared" si="1"/>
        <v>12.11</v>
      </c>
      <c r="J69" s="453">
        <f t="shared" si="2"/>
        <v>7.8</v>
      </c>
      <c r="K69" s="453">
        <f t="shared" si="3"/>
        <v>10.97</v>
      </c>
      <c r="S69" s="22"/>
      <c r="T69" s="22"/>
      <c r="U69" s="22"/>
      <c r="V69" s="22"/>
      <c r="W69" s="22"/>
      <c r="X69" s="22"/>
      <c r="Y69" s="22"/>
      <c r="Z69" s="22"/>
    </row>
    <row r="70" spans="1:26" s="9" customFormat="1" ht="39" customHeight="1">
      <c r="A70" s="515" t="s">
        <v>312</v>
      </c>
      <c r="B70" s="530"/>
      <c r="C70" s="530"/>
      <c r="D70" s="530"/>
      <c r="E70" s="530"/>
      <c r="F70" s="530"/>
      <c r="G70" s="530"/>
      <c r="H70" s="530"/>
      <c r="I70" s="530"/>
      <c r="J70" s="27"/>
    </row>
    <row r="71" spans="1:26" s="31" customFormat="1" ht="48.6" customHeight="1">
      <c r="A71" s="515" t="s">
        <v>287</v>
      </c>
      <c r="B71" s="530"/>
      <c r="C71" s="530"/>
      <c r="D71" s="530"/>
      <c r="E71" s="530"/>
      <c r="F71" s="530"/>
      <c r="G71" s="530"/>
      <c r="H71" s="530"/>
      <c r="I71" s="530"/>
      <c r="J71" s="30"/>
    </row>
    <row r="72" spans="1:26" s="31" customFormat="1" ht="7.9" customHeight="1">
      <c r="A72" s="30"/>
      <c r="B72" s="30"/>
      <c r="C72" s="30"/>
      <c r="D72" s="30"/>
      <c r="E72" s="30"/>
      <c r="F72" s="30"/>
      <c r="G72" s="28"/>
      <c r="H72" s="29"/>
      <c r="I72" s="28"/>
      <c r="J72" s="30"/>
    </row>
    <row r="73" spans="1:26" s="9" customFormat="1" ht="38.25" customHeight="1">
      <c r="A73" s="506" t="s">
        <v>463</v>
      </c>
      <c r="B73" s="508"/>
      <c r="C73" s="508"/>
      <c r="D73" s="508"/>
      <c r="E73" s="508"/>
      <c r="F73" s="508"/>
      <c r="G73" s="508"/>
      <c r="H73" s="508"/>
      <c r="I73" s="508"/>
      <c r="J73" s="27"/>
    </row>
  </sheetData>
  <mergeCells count="5">
    <mergeCell ref="B2:I2"/>
    <mergeCell ref="A70:I70"/>
    <mergeCell ref="A71:I71"/>
    <mergeCell ref="A73:I73"/>
    <mergeCell ref="B3:E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89"/>
  <sheetViews>
    <sheetView zoomScale="75" zoomScaleNormal="75" workbookViewId="0"/>
  </sheetViews>
  <sheetFormatPr defaultColWidth="7.42578125" defaultRowHeight="12.75"/>
  <cols>
    <col min="1" max="1" width="35" style="226" customWidth="1"/>
    <col min="2" max="2" width="14.7109375" style="226" customWidth="1"/>
    <col min="3" max="3" width="13" style="230" customWidth="1"/>
    <col min="4" max="4" width="15.7109375" style="227" customWidth="1"/>
    <col min="5" max="5" width="15.42578125" style="227" customWidth="1"/>
    <col min="6" max="6" width="7.42578125" style="228"/>
    <col min="7" max="7" width="10.85546875" style="227" customWidth="1"/>
    <col min="8" max="8" width="12.5703125" style="227" customWidth="1"/>
    <col min="9" max="9" width="9.5703125" style="228" customWidth="1"/>
    <col min="10" max="10" width="10.5703125" style="227" customWidth="1"/>
    <col min="11" max="11" width="13.85546875" style="227" customWidth="1"/>
    <col min="12" max="12" width="9.140625" style="228" customWidth="1"/>
    <col min="13" max="13" width="16.42578125" style="227" customWidth="1"/>
    <col min="14" max="14" width="10.42578125" style="121" bestFit="1" customWidth="1"/>
    <col min="15" max="15" width="7.42578125" style="121"/>
    <col min="16" max="16" width="17" style="121" customWidth="1"/>
    <col min="17" max="17" width="10.7109375" style="121" customWidth="1"/>
    <col min="18" max="18" width="11.28515625" style="121" customWidth="1"/>
    <col min="19" max="20" width="10.42578125" style="121" customWidth="1"/>
    <col min="21" max="16384" width="7.42578125" style="121"/>
  </cols>
  <sheetData>
    <row r="1" spans="1:27" ht="18">
      <c r="A1" s="368" t="s">
        <v>415</v>
      </c>
      <c r="B1" s="368"/>
      <c r="C1" s="109"/>
      <c r="D1" s="182"/>
      <c r="E1" s="182"/>
      <c r="F1" s="110"/>
      <c r="G1" s="182"/>
      <c r="H1" s="182"/>
      <c r="I1" s="110"/>
      <c r="J1" s="182"/>
      <c r="K1" s="182"/>
      <c r="L1" s="110"/>
      <c r="M1" s="182"/>
    </row>
    <row r="2" spans="1:27" ht="15" customHeight="1">
      <c r="A2" s="172"/>
      <c r="B2" s="535" t="s">
        <v>3</v>
      </c>
      <c r="C2" s="536"/>
      <c r="D2" s="537"/>
      <c r="E2" s="538" t="s">
        <v>4</v>
      </c>
      <c r="F2" s="539"/>
      <c r="G2" s="540"/>
      <c r="H2" s="538" t="s">
        <v>5</v>
      </c>
      <c r="I2" s="539"/>
      <c r="J2" s="540"/>
      <c r="K2" s="538" t="s">
        <v>6</v>
      </c>
      <c r="L2" s="539"/>
      <c r="M2" s="540"/>
      <c r="P2" s="295" t="s">
        <v>17</v>
      </c>
      <c r="Q2" s="295" t="s">
        <v>18</v>
      </c>
      <c r="R2" s="295" t="s">
        <v>19</v>
      </c>
      <c r="S2" s="295" t="s">
        <v>32</v>
      </c>
    </row>
    <row r="3" spans="1:27">
      <c r="A3" s="229"/>
      <c r="B3" s="369" t="s">
        <v>283</v>
      </c>
      <c r="C3" s="232" t="s">
        <v>7</v>
      </c>
      <c r="D3" s="370"/>
      <c r="E3" s="371" t="s">
        <v>283</v>
      </c>
      <c r="F3" s="372" t="s">
        <v>7</v>
      </c>
      <c r="G3" s="370"/>
      <c r="H3" s="373" t="s">
        <v>283</v>
      </c>
      <c r="I3" s="372" t="s">
        <v>7</v>
      </c>
      <c r="J3" s="373"/>
      <c r="K3" s="371" t="s">
        <v>283</v>
      </c>
      <c r="L3" s="372" t="s">
        <v>7</v>
      </c>
      <c r="M3" s="370"/>
    </row>
    <row r="4" spans="1:27" ht="14.25">
      <c r="A4" s="374" t="s">
        <v>8</v>
      </c>
      <c r="B4" s="375" t="s">
        <v>284</v>
      </c>
      <c r="C4" s="376" t="s">
        <v>392</v>
      </c>
      <c r="D4" s="377" t="s">
        <v>9</v>
      </c>
      <c r="E4" s="375" t="s">
        <v>284</v>
      </c>
      <c r="F4" s="378" t="s">
        <v>392</v>
      </c>
      <c r="G4" s="377" t="s">
        <v>9</v>
      </c>
      <c r="H4" s="379" t="s">
        <v>284</v>
      </c>
      <c r="I4" s="378" t="s">
        <v>392</v>
      </c>
      <c r="J4" s="377" t="s">
        <v>9</v>
      </c>
      <c r="K4" s="380" t="s">
        <v>284</v>
      </c>
      <c r="L4" s="378" t="s">
        <v>392</v>
      </c>
      <c r="M4" s="377" t="s">
        <v>9</v>
      </c>
    </row>
    <row r="5" spans="1:27" ht="6" customHeight="1">
      <c r="A5" s="172"/>
      <c r="B5" s="172"/>
      <c r="C5" s="104"/>
      <c r="D5" s="160"/>
      <c r="E5" s="276"/>
      <c r="F5" s="95"/>
      <c r="G5" s="312"/>
      <c r="H5" s="160"/>
      <c r="I5" s="95"/>
      <c r="J5" s="160"/>
      <c r="K5" s="276"/>
      <c r="L5" s="95"/>
      <c r="M5" s="312"/>
    </row>
    <row r="6" spans="1:27" ht="14.25">
      <c r="A6" s="381" t="s">
        <v>394</v>
      </c>
      <c r="B6" s="382" t="s">
        <v>10</v>
      </c>
      <c r="C6" s="382" t="s">
        <v>10</v>
      </c>
      <c r="D6" s="382" t="s">
        <v>10</v>
      </c>
      <c r="E6" s="388" t="s">
        <v>10</v>
      </c>
      <c r="F6" s="382" t="s">
        <v>10</v>
      </c>
      <c r="G6" s="399" t="s">
        <v>10</v>
      </c>
      <c r="H6" s="382" t="s">
        <v>10</v>
      </c>
      <c r="I6" s="382" t="s">
        <v>10</v>
      </c>
      <c r="J6" s="382" t="s">
        <v>10</v>
      </c>
      <c r="K6" s="340">
        <v>4514194</v>
      </c>
      <c r="L6" s="341">
        <f>K6/8760</f>
        <v>515.31894977168952</v>
      </c>
      <c r="M6" s="342">
        <v>219269</v>
      </c>
      <c r="O6" s="231"/>
      <c r="P6" s="120"/>
      <c r="Q6" s="287"/>
      <c r="R6" s="287"/>
      <c r="S6" s="287"/>
      <c r="T6" s="286"/>
    </row>
    <row r="7" spans="1:27" ht="6.75" customHeight="1">
      <c r="A7" s="172"/>
      <c r="B7" s="360"/>
      <c r="C7" s="341"/>
      <c r="D7" s="342"/>
      <c r="E7" s="343"/>
      <c r="F7" s="341"/>
      <c r="G7" s="383"/>
      <c r="H7" s="344"/>
      <c r="I7" s="384"/>
      <c r="J7" s="385"/>
      <c r="K7" s="343"/>
      <c r="L7" s="341"/>
      <c r="M7" s="383"/>
      <c r="O7" s="231"/>
      <c r="Q7" s="227"/>
    </row>
    <row r="8" spans="1:27" s="96" customFormat="1" ht="15" customHeight="1">
      <c r="A8" s="381" t="s">
        <v>259</v>
      </c>
      <c r="B8" s="340">
        <v>245187</v>
      </c>
      <c r="C8" s="341">
        <f>B8/8760</f>
        <v>27.989383561643837</v>
      </c>
      <c r="D8" s="342">
        <v>15327</v>
      </c>
      <c r="E8" s="340">
        <v>234047</v>
      </c>
      <c r="F8" s="341">
        <f>E8/8760</f>
        <v>26.717694063926942</v>
      </c>
      <c r="G8" s="342">
        <v>5558</v>
      </c>
      <c r="H8" s="341">
        <v>57517</v>
      </c>
      <c r="I8" s="341">
        <f>H8/8760</f>
        <v>6.5658675799086756</v>
      </c>
      <c r="J8" s="364">
        <v>1088</v>
      </c>
      <c r="K8" s="340">
        <f>B8+E8+H8</f>
        <v>536751</v>
      </c>
      <c r="L8" s="341">
        <f>K8/8760</f>
        <v>61.272945205479452</v>
      </c>
      <c r="M8" s="342">
        <f>J8+G8+D8</f>
        <v>21973</v>
      </c>
      <c r="O8" s="234"/>
      <c r="P8" s="104"/>
      <c r="Q8" s="160"/>
    </row>
    <row r="9" spans="1:27" ht="6.75" customHeight="1">
      <c r="A9" s="172"/>
      <c r="B9" s="360"/>
      <c r="C9" s="341"/>
      <c r="D9" s="342"/>
      <c r="E9" s="343"/>
      <c r="F9" s="341"/>
      <c r="G9" s="383"/>
      <c r="H9" s="344"/>
      <c r="I9" s="384"/>
      <c r="J9" s="385"/>
      <c r="K9" s="343"/>
      <c r="L9" s="341"/>
      <c r="M9" s="383"/>
      <c r="O9" s="231"/>
      <c r="P9" s="230"/>
      <c r="Q9" s="227"/>
    </row>
    <row r="10" spans="1:27" s="96" customFormat="1">
      <c r="A10" s="381" t="s">
        <v>12</v>
      </c>
      <c r="B10" s="340">
        <v>2913125</v>
      </c>
      <c r="C10" s="341">
        <f>B10/8760</f>
        <v>332.54851598173514</v>
      </c>
      <c r="D10" s="342">
        <v>331550</v>
      </c>
      <c r="E10" s="340">
        <v>3321759</v>
      </c>
      <c r="F10" s="341">
        <f>E10/8760</f>
        <v>379.19623287671232</v>
      </c>
      <c r="G10" s="342">
        <v>80536</v>
      </c>
      <c r="H10" s="341">
        <v>829863</v>
      </c>
      <c r="I10" s="341">
        <f>H10/8760</f>
        <v>94.733219178082194</v>
      </c>
      <c r="J10" s="364">
        <v>2095</v>
      </c>
      <c r="K10" s="340">
        <f>H10+E10+B10</f>
        <v>7064747</v>
      </c>
      <c r="L10" s="341">
        <f>K10/8760</f>
        <v>806.47796803652966</v>
      </c>
      <c r="M10" s="342">
        <f>J10+G10+D10</f>
        <v>414181</v>
      </c>
      <c r="O10" s="234"/>
      <c r="P10" s="104"/>
      <c r="Q10" s="160"/>
      <c r="R10" s="238"/>
      <c r="S10" s="238"/>
      <c r="T10" s="229"/>
      <c r="U10" s="238"/>
      <c r="V10" s="238"/>
      <c r="W10" s="229"/>
      <c r="X10" s="238"/>
      <c r="Y10" s="238"/>
      <c r="Z10" s="229"/>
      <c r="AA10" s="238"/>
    </row>
    <row r="11" spans="1:27" s="233" customFormat="1" ht="15">
      <c r="A11" s="298" t="s">
        <v>1</v>
      </c>
      <c r="B11" s="343">
        <v>185827</v>
      </c>
      <c r="C11" s="264">
        <f>B11/8760</f>
        <v>21.213127853881279</v>
      </c>
      <c r="D11" s="344">
        <v>19760</v>
      </c>
      <c r="E11" s="343">
        <v>267266</v>
      </c>
      <c r="F11" s="348">
        <f>E11/8760</f>
        <v>30.509817351598173</v>
      </c>
      <c r="G11" s="344">
        <v>5673</v>
      </c>
      <c r="H11" s="343">
        <v>296907</v>
      </c>
      <c r="I11" s="348">
        <f>H11/8760</f>
        <v>33.893493150684932</v>
      </c>
      <c r="J11" s="344">
        <v>121</v>
      </c>
      <c r="K11" s="343">
        <f>H11+E11+B11</f>
        <v>750000</v>
      </c>
      <c r="L11" s="263">
        <f>K11/8760</f>
        <v>85.61643835616438</v>
      </c>
      <c r="M11" s="383">
        <f>J11+G11+D11</f>
        <v>25554</v>
      </c>
      <c r="O11" s="234"/>
      <c r="P11" s="104"/>
      <c r="Q11" s="160"/>
    </row>
    <row r="12" spans="1:27" s="233" customFormat="1" ht="15">
      <c r="A12" s="298" t="s">
        <v>393</v>
      </c>
      <c r="B12" s="343">
        <v>2726995</v>
      </c>
      <c r="C12" s="264">
        <f>B12/8760</f>
        <v>311.30079908675799</v>
      </c>
      <c r="D12" s="344">
        <v>311769</v>
      </c>
      <c r="E12" s="343">
        <v>3053622</v>
      </c>
      <c r="F12" s="348">
        <f>E12/8760</f>
        <v>348.58698630136985</v>
      </c>
      <c r="G12" s="344">
        <v>74815</v>
      </c>
      <c r="H12" s="343">
        <v>387337</v>
      </c>
      <c r="I12" s="348">
        <f>H12/8760</f>
        <v>44.216552511415522</v>
      </c>
      <c r="J12" s="344">
        <v>1970</v>
      </c>
      <c r="K12" s="343">
        <f>H12+E12+B12</f>
        <v>6167954</v>
      </c>
      <c r="L12" s="263">
        <f>K12/8760</f>
        <v>704.10433789954334</v>
      </c>
      <c r="M12" s="383">
        <f>J12+G12+D12</f>
        <v>388554</v>
      </c>
      <c r="O12" s="234"/>
      <c r="P12" s="104"/>
      <c r="Q12" s="160"/>
    </row>
    <row r="13" spans="1:27" ht="6.75" customHeight="1">
      <c r="A13" s="172"/>
      <c r="B13" s="361"/>
      <c r="C13" s="362"/>
      <c r="D13" s="363"/>
      <c r="E13" s="352"/>
      <c r="F13" s="362"/>
      <c r="G13" s="386"/>
      <c r="H13" s="363"/>
      <c r="I13" s="362"/>
      <c r="J13" s="367"/>
      <c r="K13" s="387"/>
      <c r="L13" s="353"/>
      <c r="M13" s="354"/>
      <c r="O13" s="231"/>
      <c r="P13" s="230"/>
      <c r="Q13" s="227"/>
    </row>
    <row r="14" spans="1:27" s="96" customFormat="1" ht="15">
      <c r="A14" s="381" t="s">
        <v>294</v>
      </c>
      <c r="B14" s="345">
        <v>0</v>
      </c>
      <c r="C14" s="346">
        <v>0</v>
      </c>
      <c r="D14" s="347">
        <v>0</v>
      </c>
      <c r="E14" s="349">
        <v>85307</v>
      </c>
      <c r="F14" s="350">
        <f>E14/8760</f>
        <v>9.7382420091324207</v>
      </c>
      <c r="G14" s="351">
        <v>2</v>
      </c>
      <c r="H14" s="365">
        <v>1166016</v>
      </c>
      <c r="I14" s="350">
        <f>H14/8760</f>
        <v>133.1068493150685</v>
      </c>
      <c r="J14" s="366">
        <v>7</v>
      </c>
      <c r="K14" s="340">
        <f>H14+E14+B14</f>
        <v>1251323</v>
      </c>
      <c r="L14" s="350">
        <f>K14/8760</f>
        <v>142.84509132420092</v>
      </c>
      <c r="M14" s="342">
        <f>J14+G14+D14</f>
        <v>9</v>
      </c>
      <c r="O14" s="234"/>
      <c r="Q14" s="344" t="s">
        <v>11</v>
      </c>
    </row>
    <row r="15" spans="1:27" ht="4.1500000000000004" customHeight="1" thickBot="1">
      <c r="A15" s="239"/>
      <c r="B15" s="240"/>
      <c r="C15" s="187"/>
      <c r="D15" s="235"/>
      <c r="E15" s="338"/>
      <c r="F15" s="232"/>
      <c r="G15" s="338"/>
      <c r="H15" s="338"/>
      <c r="I15" s="232"/>
      <c r="J15" s="236"/>
      <c r="K15" s="236"/>
      <c r="L15" s="237"/>
      <c r="M15" s="296">
        <v>15</v>
      </c>
      <c r="O15" s="231"/>
      <c r="P15" s="230"/>
      <c r="Q15" s="227"/>
    </row>
    <row r="16" spans="1:27" ht="19.899999999999999" customHeight="1" thickTop="1" thickBot="1">
      <c r="A16" s="251" t="s">
        <v>391</v>
      </c>
      <c r="B16" s="416" t="s">
        <v>10</v>
      </c>
      <c r="C16" s="416" t="s">
        <v>10</v>
      </c>
      <c r="D16" s="416" t="s">
        <v>10</v>
      </c>
      <c r="E16" s="417" t="s">
        <v>10</v>
      </c>
      <c r="F16" s="416" t="s">
        <v>10</v>
      </c>
      <c r="G16" s="418" t="s">
        <v>10</v>
      </c>
      <c r="H16" s="416" t="s">
        <v>10</v>
      </c>
      <c r="I16" s="416" t="s">
        <v>10</v>
      </c>
      <c r="J16" s="416" t="s">
        <v>10</v>
      </c>
      <c r="K16" s="290">
        <f>K6+K8+K10+K14</f>
        <v>13367015</v>
      </c>
      <c r="L16" s="393">
        <f>K16/8760</f>
        <v>1525.9149543378996</v>
      </c>
      <c r="M16" s="297">
        <f t="shared" ref="M16" si="0">M14+M10+M8+M6</f>
        <v>655432</v>
      </c>
      <c r="N16" s="231"/>
      <c r="O16" s="231"/>
      <c r="P16" s="230"/>
      <c r="Q16" s="227"/>
    </row>
    <row r="17" spans="1:13" ht="5.45" customHeight="1" thickTop="1">
      <c r="A17" s="240"/>
      <c r="B17" s="240"/>
      <c r="C17" s="187"/>
      <c r="D17" s="188"/>
      <c r="E17" s="188"/>
      <c r="F17" s="189"/>
      <c r="G17" s="188"/>
      <c r="H17" s="188"/>
      <c r="I17" s="189"/>
      <c r="J17" s="188"/>
      <c r="K17" s="188"/>
      <c r="L17" s="189"/>
      <c r="M17" s="188"/>
    </row>
    <row r="18" spans="1:13" ht="12" customHeight="1">
      <c r="A18" s="172" t="s">
        <v>416</v>
      </c>
      <c r="B18" s="240"/>
      <c r="C18" s="187"/>
      <c r="D18" s="188"/>
      <c r="E18" s="188"/>
      <c r="F18" s="189"/>
      <c r="G18" s="188"/>
      <c r="H18" s="188"/>
      <c r="I18" s="189"/>
      <c r="J18" s="188"/>
      <c r="K18" s="188"/>
      <c r="L18" s="189"/>
      <c r="M18" s="188"/>
    </row>
    <row r="19" spans="1:13">
      <c r="A19" s="240"/>
      <c r="B19" s="240"/>
      <c r="C19" s="187"/>
      <c r="D19" s="188"/>
      <c r="E19" s="188"/>
      <c r="F19" s="189"/>
      <c r="G19" s="188"/>
      <c r="H19" s="188"/>
      <c r="I19" s="189"/>
      <c r="J19" s="188"/>
      <c r="K19" s="188"/>
      <c r="L19" s="189"/>
      <c r="M19" s="188"/>
    </row>
    <row r="20" spans="1:13" ht="18">
      <c r="A20" s="368" t="s">
        <v>464</v>
      </c>
      <c r="B20" s="368"/>
      <c r="C20" s="109"/>
      <c r="D20" s="182"/>
      <c r="E20" s="182"/>
      <c r="F20" s="110"/>
      <c r="G20" s="182"/>
      <c r="H20" s="182"/>
      <c r="I20" s="110"/>
      <c r="J20" s="182"/>
      <c r="K20" s="182"/>
      <c r="L20" s="110"/>
      <c r="M20" s="182"/>
    </row>
    <row r="21" spans="1:13">
      <c r="A21" s="172"/>
      <c r="B21" s="535" t="s">
        <v>3</v>
      </c>
      <c r="C21" s="536"/>
      <c r="D21" s="537"/>
      <c r="E21" s="538" t="s">
        <v>4</v>
      </c>
      <c r="F21" s="539"/>
      <c r="G21" s="540"/>
      <c r="H21" s="538" t="s">
        <v>5</v>
      </c>
      <c r="I21" s="539"/>
      <c r="J21" s="540"/>
      <c r="K21" s="538" t="s">
        <v>6</v>
      </c>
      <c r="L21" s="539"/>
      <c r="M21" s="540"/>
    </row>
    <row r="22" spans="1:13">
      <c r="A22" s="229"/>
      <c r="B22" s="369" t="s">
        <v>283</v>
      </c>
      <c r="C22" s="232" t="s">
        <v>7</v>
      </c>
      <c r="D22" s="370"/>
      <c r="E22" s="371" t="s">
        <v>283</v>
      </c>
      <c r="F22" s="372" t="s">
        <v>7</v>
      </c>
      <c r="G22" s="370"/>
      <c r="H22" s="373" t="s">
        <v>283</v>
      </c>
      <c r="I22" s="372" t="s">
        <v>7</v>
      </c>
      <c r="J22" s="373"/>
      <c r="K22" s="371" t="s">
        <v>283</v>
      </c>
      <c r="L22" s="372" t="s">
        <v>7</v>
      </c>
      <c r="M22" s="370"/>
    </row>
    <row r="23" spans="1:13" ht="14.25">
      <c r="A23" s="374" t="s">
        <v>8</v>
      </c>
      <c r="B23" s="375" t="s">
        <v>284</v>
      </c>
      <c r="C23" s="376" t="s">
        <v>392</v>
      </c>
      <c r="D23" s="377" t="s">
        <v>9</v>
      </c>
      <c r="E23" s="375" t="s">
        <v>284</v>
      </c>
      <c r="F23" s="378" t="s">
        <v>392</v>
      </c>
      <c r="G23" s="377" t="s">
        <v>9</v>
      </c>
      <c r="H23" s="379" t="s">
        <v>284</v>
      </c>
      <c r="I23" s="378" t="s">
        <v>392</v>
      </c>
      <c r="J23" s="377" t="s">
        <v>9</v>
      </c>
      <c r="K23" s="380" t="s">
        <v>284</v>
      </c>
      <c r="L23" s="378" t="s">
        <v>392</v>
      </c>
      <c r="M23" s="377" t="s">
        <v>9</v>
      </c>
    </row>
    <row r="24" spans="1:13" ht="5.45" customHeight="1">
      <c r="A24" s="172"/>
      <c r="B24" s="172"/>
      <c r="C24" s="104"/>
      <c r="D24" s="160"/>
      <c r="E24" s="276"/>
      <c r="F24" s="95"/>
      <c r="G24" s="312"/>
      <c r="H24" s="160"/>
      <c r="I24" s="95"/>
      <c r="J24" s="160"/>
      <c r="K24" s="276"/>
      <c r="L24" s="95"/>
      <c r="M24" s="312"/>
    </row>
    <row r="25" spans="1:13" ht="14.25">
      <c r="A25" s="381" t="s">
        <v>394</v>
      </c>
      <c r="B25" s="382" t="s">
        <v>10</v>
      </c>
      <c r="C25" s="382" t="s">
        <v>10</v>
      </c>
      <c r="D25" s="382" t="s">
        <v>10</v>
      </c>
      <c r="E25" s="388" t="s">
        <v>10</v>
      </c>
      <c r="F25" s="382" t="s">
        <v>10</v>
      </c>
      <c r="G25" s="399" t="s">
        <v>10</v>
      </c>
      <c r="H25" s="382" t="s">
        <v>10</v>
      </c>
      <c r="I25" s="382" t="s">
        <v>10</v>
      </c>
      <c r="J25" s="382" t="s">
        <v>10</v>
      </c>
      <c r="K25" s="340">
        <v>4716826</v>
      </c>
      <c r="L25" s="341">
        <f>K25/8760</f>
        <v>538.45045662100461</v>
      </c>
      <c r="M25" s="342">
        <v>223671</v>
      </c>
    </row>
    <row r="26" spans="1:13" ht="5.45" customHeight="1">
      <c r="A26" s="172"/>
      <c r="B26" s="360"/>
      <c r="C26" s="341"/>
      <c r="D26" s="342"/>
      <c r="E26" s="343"/>
      <c r="F26" s="341"/>
      <c r="G26" s="383"/>
      <c r="H26" s="344"/>
      <c r="I26" s="384"/>
      <c r="J26" s="385"/>
      <c r="K26" s="343"/>
      <c r="L26" s="341"/>
      <c r="M26" s="383"/>
    </row>
    <row r="27" spans="1:13">
      <c r="A27" s="381" t="s">
        <v>259</v>
      </c>
      <c r="B27" s="340">
        <v>266491</v>
      </c>
      <c r="C27" s="341">
        <f>B27/8760</f>
        <v>30.421347031963471</v>
      </c>
      <c r="D27" s="342">
        <v>15830</v>
      </c>
      <c r="E27" s="340">
        <v>137505</v>
      </c>
      <c r="F27" s="341">
        <f>E27/8760</f>
        <v>15.696917808219178</v>
      </c>
      <c r="G27" s="342">
        <v>5607</v>
      </c>
      <c r="H27" s="341">
        <v>18446</v>
      </c>
      <c r="I27" s="341">
        <f>H27/8760</f>
        <v>2.1057077625570777</v>
      </c>
      <c r="J27" s="364">
        <v>1093</v>
      </c>
      <c r="K27" s="340">
        <v>579522</v>
      </c>
      <c r="L27" s="341">
        <f>K27/8760</f>
        <v>66.155479452054792</v>
      </c>
      <c r="M27" s="342">
        <v>22546</v>
      </c>
    </row>
    <row r="28" spans="1:13" ht="5.45" customHeight="1">
      <c r="A28" s="172"/>
      <c r="B28" s="360"/>
      <c r="C28" s="341"/>
      <c r="D28" s="342"/>
      <c r="E28" s="343"/>
      <c r="F28" s="341"/>
      <c r="G28" s="383"/>
      <c r="H28" s="344"/>
      <c r="I28" s="384"/>
      <c r="J28" s="385"/>
      <c r="K28" s="343"/>
      <c r="L28" s="341"/>
      <c r="M28" s="383"/>
    </row>
    <row r="29" spans="1:13">
      <c r="A29" s="381" t="s">
        <v>12</v>
      </c>
      <c r="B29" s="340">
        <v>3059289</v>
      </c>
      <c r="C29" s="341">
        <f>B29/8760</f>
        <v>349.23390410958905</v>
      </c>
      <c r="D29" s="342">
        <v>336479</v>
      </c>
      <c r="E29" s="340">
        <v>3379461</v>
      </c>
      <c r="F29" s="341">
        <f>E29/8760</f>
        <v>385.78321917808222</v>
      </c>
      <c r="G29" s="342">
        <v>82014</v>
      </c>
      <c r="H29" s="341">
        <v>854541</v>
      </c>
      <c r="I29" s="341">
        <f>H29/8760</f>
        <v>97.550342465753431</v>
      </c>
      <c r="J29" s="364">
        <v>2183</v>
      </c>
      <c r="K29" s="340">
        <v>7293514</v>
      </c>
      <c r="L29" s="341">
        <f>K29/8760</f>
        <v>832.59292237442924</v>
      </c>
      <c r="M29" s="342">
        <v>420676</v>
      </c>
    </row>
    <row r="30" spans="1:13" ht="15">
      <c r="A30" s="298" t="s">
        <v>1</v>
      </c>
      <c r="B30" s="343">
        <v>193296</v>
      </c>
      <c r="C30" s="264">
        <f>B30/8760</f>
        <v>22.065753424657533</v>
      </c>
      <c r="D30" s="344">
        <v>19658</v>
      </c>
      <c r="E30" s="343">
        <v>269507</v>
      </c>
      <c r="F30" s="348">
        <f>E30/8760</f>
        <v>30.765639269406392</v>
      </c>
      <c r="G30" s="344">
        <v>5699</v>
      </c>
      <c r="H30" s="343">
        <v>297373</v>
      </c>
      <c r="I30" s="348">
        <f>H30/8760</f>
        <v>33.946689497716896</v>
      </c>
      <c r="J30" s="344">
        <v>120</v>
      </c>
      <c r="K30" s="343">
        <f>H30+E30+B30</f>
        <v>760176</v>
      </c>
      <c r="L30" s="263">
        <f>K30/8760</f>
        <v>86.778082191780825</v>
      </c>
      <c r="M30" s="383">
        <f>J30+G30+D30</f>
        <v>25477</v>
      </c>
    </row>
    <row r="31" spans="1:13" ht="15">
      <c r="A31" s="298" t="s">
        <v>393</v>
      </c>
      <c r="B31" s="343">
        <v>2865830</v>
      </c>
      <c r="C31" s="264">
        <f>B31/8760</f>
        <v>327.14954337899542</v>
      </c>
      <c r="D31" s="344">
        <v>316799</v>
      </c>
      <c r="E31" s="343">
        <v>3109006</v>
      </c>
      <c r="F31" s="348">
        <f>E31/8760</f>
        <v>354.90936073059362</v>
      </c>
      <c r="G31" s="344">
        <v>76268</v>
      </c>
      <c r="H31" s="343">
        <v>403742</v>
      </c>
      <c r="I31" s="348">
        <f>H31/8760</f>
        <v>46.089269406392695</v>
      </c>
      <c r="J31" s="344">
        <v>2059</v>
      </c>
      <c r="K31" s="343">
        <f>H31+E31+B31</f>
        <v>6378578</v>
      </c>
      <c r="L31" s="263">
        <f>K31/8760</f>
        <v>728.14817351598174</v>
      </c>
      <c r="M31" s="383">
        <f>J31+G31+D31</f>
        <v>395126</v>
      </c>
    </row>
    <row r="32" spans="1:13" ht="5.45" customHeight="1">
      <c r="A32" s="172"/>
      <c r="B32" s="361"/>
      <c r="C32" s="362"/>
      <c r="D32" s="363"/>
      <c r="E32" s="352"/>
      <c r="F32" s="362"/>
      <c r="G32" s="386"/>
      <c r="H32" s="363"/>
      <c r="I32" s="362"/>
      <c r="J32" s="367"/>
      <c r="K32" s="387"/>
      <c r="L32" s="353"/>
      <c r="M32" s="354"/>
    </row>
    <row r="33" spans="1:13" ht="15">
      <c r="A33" s="381" t="s">
        <v>294</v>
      </c>
      <c r="B33" s="345">
        <v>0</v>
      </c>
      <c r="C33" s="346">
        <v>0</v>
      </c>
      <c r="D33" s="347">
        <v>0</v>
      </c>
      <c r="E33" s="349">
        <v>13104</v>
      </c>
      <c r="F33" s="350">
        <f>E33/8760</f>
        <v>1.4958904109589042</v>
      </c>
      <c r="G33" s="351">
        <v>1</v>
      </c>
      <c r="H33" s="365">
        <v>746032</v>
      </c>
      <c r="I33" s="350">
        <f>H33/8760</f>
        <v>85.163470319634698</v>
      </c>
      <c r="J33" s="366">
        <v>6</v>
      </c>
      <c r="K33" s="340">
        <v>759136</v>
      </c>
      <c r="L33" s="350">
        <f>K33/8760</f>
        <v>86.659360730593605</v>
      </c>
      <c r="M33" s="342">
        <v>7</v>
      </c>
    </row>
    <row r="34" spans="1:13" ht="5.45" customHeight="1" thickBot="1">
      <c r="A34" s="239"/>
      <c r="B34" s="240"/>
      <c r="C34" s="187"/>
      <c r="D34" s="235"/>
      <c r="E34" s="338"/>
      <c r="F34" s="232"/>
      <c r="G34" s="338"/>
      <c r="H34" s="338"/>
      <c r="I34" s="232"/>
      <c r="J34" s="236"/>
      <c r="K34" s="236"/>
      <c r="L34" s="237"/>
      <c r="M34" s="296">
        <v>15</v>
      </c>
    </row>
    <row r="35" spans="1:13" ht="17.25" thickTop="1" thickBot="1">
      <c r="A35" s="251" t="s">
        <v>391</v>
      </c>
      <c r="B35" s="416" t="s">
        <v>10</v>
      </c>
      <c r="C35" s="416" t="s">
        <v>10</v>
      </c>
      <c r="D35" s="416" t="s">
        <v>10</v>
      </c>
      <c r="E35" s="417" t="s">
        <v>10</v>
      </c>
      <c r="F35" s="416" t="s">
        <v>10</v>
      </c>
      <c r="G35" s="418" t="s">
        <v>10</v>
      </c>
      <c r="H35" s="416" t="s">
        <v>10</v>
      </c>
      <c r="I35" s="416" t="s">
        <v>10</v>
      </c>
      <c r="J35" s="416" t="s">
        <v>10</v>
      </c>
      <c r="K35" s="290">
        <f>K25+K27+K29+K33</f>
        <v>13348998</v>
      </c>
      <c r="L35" s="393">
        <f>K35/8760</f>
        <v>1523.8582191780822</v>
      </c>
      <c r="M35" s="297">
        <f t="shared" ref="M35" si="1">M33+M29+M27+M25</f>
        <v>666900</v>
      </c>
    </row>
    <row r="36" spans="1:13" ht="5.45" customHeight="1" thickTop="1">
      <c r="A36" s="240"/>
      <c r="B36" s="240"/>
      <c r="C36" s="187"/>
      <c r="D36" s="188"/>
      <c r="E36" s="188"/>
      <c r="F36" s="189"/>
      <c r="G36" s="188"/>
      <c r="H36" s="188"/>
      <c r="I36" s="189"/>
      <c r="J36" s="188"/>
      <c r="K36" s="188"/>
      <c r="L36" s="189"/>
      <c r="M36" s="188"/>
    </row>
    <row r="37" spans="1:13">
      <c r="A37" s="172" t="s">
        <v>416</v>
      </c>
      <c r="B37" s="240"/>
      <c r="C37" s="187"/>
      <c r="D37" s="188"/>
      <c r="E37" s="188"/>
      <c r="F37" s="189"/>
      <c r="G37" s="188"/>
      <c r="H37" s="188"/>
      <c r="I37" s="189"/>
      <c r="J37" s="188"/>
      <c r="K37" s="188"/>
      <c r="L37" s="189"/>
      <c r="M37" s="188"/>
    </row>
    <row r="38" spans="1:13" ht="5.45" customHeight="1">
      <c r="A38" s="240"/>
      <c r="B38" s="240"/>
      <c r="C38" s="187"/>
      <c r="D38" s="188"/>
      <c r="E38" s="188"/>
      <c r="F38" s="189"/>
      <c r="G38" s="188"/>
      <c r="H38" s="188"/>
      <c r="I38" s="189"/>
      <c r="J38" s="188"/>
      <c r="K38" s="188"/>
      <c r="L38" s="189"/>
      <c r="M38" s="188"/>
    </row>
    <row r="39" spans="1:13" ht="5.45" customHeight="1">
      <c r="A39" s="240"/>
      <c r="B39" s="240"/>
      <c r="C39" s="187"/>
      <c r="D39" s="188"/>
      <c r="E39" s="188"/>
      <c r="F39" s="189"/>
      <c r="G39" s="188"/>
      <c r="H39" s="188"/>
      <c r="I39" s="189"/>
      <c r="J39" s="188"/>
      <c r="K39" s="188"/>
      <c r="L39" s="189"/>
      <c r="M39" s="188"/>
    </row>
    <row r="40" spans="1:13" ht="18">
      <c r="A40" s="368" t="s">
        <v>613</v>
      </c>
      <c r="B40" s="368"/>
      <c r="C40" s="109"/>
      <c r="D40" s="182"/>
      <c r="E40" s="182"/>
      <c r="F40" s="110"/>
      <c r="G40" s="182"/>
      <c r="H40" s="182"/>
      <c r="I40" s="110"/>
      <c r="J40" s="182"/>
      <c r="K40" s="182"/>
      <c r="L40" s="110"/>
      <c r="M40" s="182"/>
    </row>
    <row r="41" spans="1:13">
      <c r="A41" s="172"/>
      <c r="B41" s="535" t="s">
        <v>3</v>
      </c>
      <c r="C41" s="536"/>
      <c r="D41" s="537"/>
      <c r="E41" s="538" t="s">
        <v>4</v>
      </c>
      <c r="F41" s="539"/>
      <c r="G41" s="540"/>
      <c r="H41" s="538" t="s">
        <v>5</v>
      </c>
      <c r="I41" s="539"/>
      <c r="J41" s="540"/>
      <c r="K41" s="538" t="s">
        <v>6</v>
      </c>
      <c r="L41" s="539"/>
      <c r="M41" s="540"/>
    </row>
    <row r="42" spans="1:13">
      <c r="A42" s="229"/>
      <c r="B42" s="369" t="s">
        <v>283</v>
      </c>
      <c r="C42" s="232" t="s">
        <v>7</v>
      </c>
      <c r="D42" s="370"/>
      <c r="E42" s="371" t="s">
        <v>283</v>
      </c>
      <c r="F42" s="372" t="s">
        <v>7</v>
      </c>
      <c r="G42" s="370"/>
      <c r="H42" s="373" t="s">
        <v>283</v>
      </c>
      <c r="I42" s="372" t="s">
        <v>7</v>
      </c>
      <c r="J42" s="373"/>
      <c r="K42" s="371" t="s">
        <v>283</v>
      </c>
      <c r="L42" s="372" t="s">
        <v>7</v>
      </c>
      <c r="M42" s="370"/>
    </row>
    <row r="43" spans="1:13" ht="14.25">
      <c r="A43" s="374" t="s">
        <v>8</v>
      </c>
      <c r="B43" s="375" t="s">
        <v>284</v>
      </c>
      <c r="C43" s="376" t="s">
        <v>392</v>
      </c>
      <c r="D43" s="377" t="s">
        <v>9</v>
      </c>
      <c r="E43" s="375" t="s">
        <v>284</v>
      </c>
      <c r="F43" s="378" t="s">
        <v>392</v>
      </c>
      <c r="G43" s="377" t="s">
        <v>9</v>
      </c>
      <c r="H43" s="379" t="s">
        <v>284</v>
      </c>
      <c r="I43" s="378" t="s">
        <v>392</v>
      </c>
      <c r="J43" s="377" t="s">
        <v>9</v>
      </c>
      <c r="K43" s="380" t="s">
        <v>284</v>
      </c>
      <c r="L43" s="378" t="s">
        <v>392</v>
      </c>
      <c r="M43" s="377" t="s">
        <v>9</v>
      </c>
    </row>
    <row r="44" spans="1:13" ht="5.45" customHeight="1">
      <c r="A44" s="172"/>
      <c r="B44" s="172"/>
      <c r="C44" s="104"/>
      <c r="D44" s="160"/>
      <c r="E44" s="276"/>
      <c r="F44" s="95"/>
      <c r="G44" s="312"/>
      <c r="H44" s="160"/>
      <c r="I44" s="95"/>
      <c r="J44" s="160"/>
      <c r="K44" s="276"/>
      <c r="L44" s="95"/>
      <c r="M44" s="312"/>
    </row>
    <row r="45" spans="1:13" ht="14.25">
      <c r="A45" s="381" t="s">
        <v>394</v>
      </c>
      <c r="B45" s="382" t="s">
        <v>10</v>
      </c>
      <c r="C45" s="382" t="s">
        <v>10</v>
      </c>
      <c r="D45" s="382" t="s">
        <v>10</v>
      </c>
      <c r="E45" s="388" t="s">
        <v>10</v>
      </c>
      <c r="F45" s="382" t="s">
        <v>10</v>
      </c>
      <c r="G45" s="399" t="s">
        <v>10</v>
      </c>
      <c r="H45" s="382" t="s">
        <v>10</v>
      </c>
      <c r="I45" s="382" t="s">
        <v>10</v>
      </c>
      <c r="J45" s="382" t="s">
        <v>10</v>
      </c>
      <c r="K45" s="470">
        <f>'Table E8a'!E51</f>
        <v>4711241</v>
      </c>
      <c r="L45" s="341">
        <f>K45/8760</f>
        <v>537.81289954337899</v>
      </c>
      <c r="M45" s="471">
        <f>'Table E8a'!G51</f>
        <v>226766</v>
      </c>
    </row>
    <row r="46" spans="1:13" ht="5.45" customHeight="1">
      <c r="A46" s="172"/>
      <c r="B46" s="360"/>
      <c r="C46" s="341"/>
      <c r="D46" s="342"/>
      <c r="E46" s="343"/>
      <c r="F46" s="341"/>
      <c r="G46" s="383"/>
      <c r="H46" s="344"/>
      <c r="I46" s="384"/>
      <c r="J46" s="385"/>
      <c r="K46" s="343"/>
      <c r="L46" s="341"/>
      <c r="M46" s="383"/>
    </row>
    <row r="47" spans="1:13">
      <c r="A47" s="381" t="s">
        <v>259</v>
      </c>
      <c r="B47" s="340">
        <v>266491</v>
      </c>
      <c r="C47" s="341">
        <f>B47/8760</f>
        <v>30.421347031963471</v>
      </c>
      <c r="D47" s="342">
        <v>15830</v>
      </c>
      <c r="E47" s="340">
        <v>137505</v>
      </c>
      <c r="F47" s="341">
        <f>E47/8760</f>
        <v>15.696917808219178</v>
      </c>
      <c r="G47" s="342">
        <v>5607</v>
      </c>
      <c r="H47" s="341">
        <v>18446</v>
      </c>
      <c r="I47" s="341">
        <f>H47/8760</f>
        <v>2.1057077625570777</v>
      </c>
      <c r="J47" s="364">
        <v>1093</v>
      </c>
      <c r="K47" s="340">
        <v>579522</v>
      </c>
      <c r="L47" s="341">
        <f>K47/8760</f>
        <v>66.155479452054792</v>
      </c>
      <c r="M47" s="342">
        <v>22546</v>
      </c>
    </row>
    <row r="48" spans="1:13" ht="5.45" customHeight="1">
      <c r="A48" s="172"/>
      <c r="B48" s="360"/>
      <c r="C48" s="341"/>
      <c r="D48" s="342"/>
      <c r="E48" s="343"/>
      <c r="F48" s="341"/>
      <c r="G48" s="383"/>
      <c r="H48" s="344"/>
      <c r="I48" s="384"/>
      <c r="J48" s="385"/>
      <c r="K48" s="343"/>
      <c r="L48" s="341"/>
      <c r="M48" s="383"/>
    </row>
    <row r="49" spans="1:13">
      <c r="A49" s="381" t="s">
        <v>12</v>
      </c>
      <c r="B49" s="340">
        <f>SUM(B50:B53)</f>
        <v>2977527</v>
      </c>
      <c r="C49" s="341">
        <f>C50+C53</f>
        <v>339.85936073059361</v>
      </c>
      <c r="D49" s="342">
        <f>SUM(D50:D53)</f>
        <v>341902</v>
      </c>
      <c r="E49" s="340">
        <f>SUM(E50:E53)</f>
        <v>3374534</v>
      </c>
      <c r="F49" s="341">
        <f>E49/8760</f>
        <v>385.22077625570779</v>
      </c>
      <c r="G49" s="342">
        <f>SUM(G50:G53)</f>
        <v>83365</v>
      </c>
      <c r="H49" s="341">
        <f>SUM(H50:H53)</f>
        <v>810973</v>
      </c>
      <c r="I49" s="341">
        <f>H49/8760</f>
        <v>92.57682648401827</v>
      </c>
      <c r="J49" s="364">
        <f>SUM(J50:J53)</f>
        <v>2237</v>
      </c>
      <c r="K49" s="340">
        <f>SUM(K50:K53)</f>
        <v>7163034</v>
      </c>
      <c r="L49" s="341">
        <f>K49/8760</f>
        <v>817.69794520547941</v>
      </c>
      <c r="M49" s="342">
        <f>SUM(M50:M53)</f>
        <v>427504</v>
      </c>
    </row>
    <row r="50" spans="1:13" ht="15">
      <c r="A50" s="298" t="s">
        <v>1</v>
      </c>
      <c r="B50" s="277">
        <v>184041</v>
      </c>
      <c r="C50" s="264">
        <f>B50/8760</f>
        <v>21.009246575342466</v>
      </c>
      <c r="D50" s="277">
        <v>19629</v>
      </c>
      <c r="E50" s="277">
        <v>262888</v>
      </c>
      <c r="F50" s="348">
        <f>E50/8760</f>
        <v>30.010045662100456</v>
      </c>
      <c r="G50" s="277">
        <v>5720</v>
      </c>
      <c r="H50" s="277">
        <v>274060</v>
      </c>
      <c r="I50" s="348">
        <f>H50/8760</f>
        <v>31.285388127853881</v>
      </c>
      <c r="J50" s="459">
        <v>120</v>
      </c>
      <c r="K50" s="277">
        <v>720989</v>
      </c>
      <c r="L50" s="263">
        <f>K50/8760</f>
        <v>82.304680365296804</v>
      </c>
      <c r="M50" s="440">
        <v>25469</v>
      </c>
    </row>
    <row r="51" spans="1:13" ht="15">
      <c r="A51" s="458" t="s">
        <v>486</v>
      </c>
      <c r="B51" s="277">
        <v>156</v>
      </c>
      <c r="C51" s="264">
        <f>B51/8760</f>
        <v>1.7808219178082191E-2</v>
      </c>
      <c r="D51" s="277">
        <v>12</v>
      </c>
      <c r="E51" s="277">
        <v>197</v>
      </c>
      <c r="F51" s="348">
        <f>E51/8760</f>
        <v>2.2488584474885845E-2</v>
      </c>
      <c r="G51" s="277">
        <v>24</v>
      </c>
      <c r="H51" s="277">
        <v>149609</v>
      </c>
      <c r="I51" s="348">
        <f>H51/8760</f>
        <v>17.078652968036529</v>
      </c>
      <c r="J51" s="277">
        <v>4</v>
      </c>
      <c r="K51" s="277">
        <v>149962</v>
      </c>
      <c r="L51" s="277">
        <f>K51/8760</f>
        <v>17.118949771689497</v>
      </c>
      <c r="M51" s="440">
        <v>40</v>
      </c>
    </row>
    <row r="52" spans="1:13" ht="15">
      <c r="A52" s="458" t="s">
        <v>487</v>
      </c>
      <c r="B52" s="277">
        <v>203</v>
      </c>
      <c r="C52" s="264">
        <f>B52/8760</f>
        <v>2.3173515981735161E-2</v>
      </c>
      <c r="D52" s="277">
        <v>9</v>
      </c>
      <c r="E52" s="277">
        <v>850</v>
      </c>
      <c r="F52" s="348">
        <f>E52/8760</f>
        <v>9.7031963470319629E-2</v>
      </c>
      <c r="G52" s="277">
        <v>23</v>
      </c>
      <c r="H52" s="277">
        <v>0</v>
      </c>
      <c r="I52" s="348">
        <f>H52/8760</f>
        <v>0</v>
      </c>
      <c r="J52" s="277">
        <v>0</v>
      </c>
      <c r="K52" s="277">
        <v>1053</v>
      </c>
      <c r="L52" s="277">
        <f>K52/8760</f>
        <v>0.1202054794520548</v>
      </c>
      <c r="M52" s="440">
        <v>32</v>
      </c>
    </row>
    <row r="53" spans="1:13" ht="15">
      <c r="A53" s="298" t="s">
        <v>393</v>
      </c>
      <c r="B53" s="277">
        <v>2793127</v>
      </c>
      <c r="C53" s="264">
        <f>B53/8760</f>
        <v>318.85011415525116</v>
      </c>
      <c r="D53" s="277">
        <v>322252</v>
      </c>
      <c r="E53" s="277">
        <v>3110599</v>
      </c>
      <c r="F53" s="348">
        <f>E53/8760</f>
        <v>355.09121004566208</v>
      </c>
      <c r="G53" s="277">
        <v>77598</v>
      </c>
      <c r="H53" s="277">
        <v>387304</v>
      </c>
      <c r="I53" s="348">
        <f>H53/8760</f>
        <v>44.212785388127855</v>
      </c>
      <c r="J53" s="277">
        <v>2113</v>
      </c>
      <c r="K53" s="277">
        <v>6291030</v>
      </c>
      <c r="L53" s="263">
        <f>K53/8760</f>
        <v>718.15410958904113</v>
      </c>
      <c r="M53" s="440">
        <v>401963</v>
      </c>
    </row>
    <row r="54" spans="1:13" ht="5.45" customHeight="1">
      <c r="A54" s="172"/>
      <c r="B54" s="460"/>
      <c r="C54" s="362"/>
      <c r="D54" s="461"/>
      <c r="E54" s="461"/>
      <c r="F54" s="362"/>
      <c r="G54" s="461"/>
      <c r="H54" s="461"/>
      <c r="I54" s="362"/>
      <c r="J54" s="462"/>
      <c r="K54" s="462"/>
      <c r="L54" s="353"/>
      <c r="M54" s="475"/>
    </row>
    <row r="55" spans="1:13" ht="15">
      <c r="A55" s="381" t="s">
        <v>294</v>
      </c>
      <c r="B55" s="463">
        <v>0</v>
      </c>
      <c r="C55" s="346">
        <v>0</v>
      </c>
      <c r="D55" s="347">
        <v>0</v>
      </c>
      <c r="E55" s="464">
        <v>0</v>
      </c>
      <c r="F55" s="350">
        <f>E55/8760</f>
        <v>0</v>
      </c>
      <c r="G55" s="465">
        <v>0</v>
      </c>
      <c r="H55" s="465">
        <f>H56+H57</f>
        <v>753836</v>
      </c>
      <c r="I55" s="350">
        <f>H55/8760</f>
        <v>86.054337899543384</v>
      </c>
      <c r="J55" s="465">
        <v>5</v>
      </c>
      <c r="K55" s="466">
        <f>K56+K57</f>
        <v>753836</v>
      </c>
      <c r="L55" s="350">
        <f>K55/8760</f>
        <v>86.054337899543384</v>
      </c>
      <c r="M55" s="471">
        <v>5</v>
      </c>
    </row>
    <row r="56" spans="1:13" ht="15">
      <c r="A56" s="458" t="s">
        <v>495</v>
      </c>
      <c r="B56" s="460">
        <v>0</v>
      </c>
      <c r="C56" s="460">
        <v>0</v>
      </c>
      <c r="D56" s="460">
        <v>0</v>
      </c>
      <c r="E56" s="460">
        <v>0</v>
      </c>
      <c r="F56" s="460">
        <v>0</v>
      </c>
      <c r="G56" s="460">
        <v>0</v>
      </c>
      <c r="H56" s="277">
        <v>333172</v>
      </c>
      <c r="I56" s="353">
        <f>H56/8760</f>
        <v>38.033333333333331</v>
      </c>
      <c r="J56" s="277">
        <v>1</v>
      </c>
      <c r="K56" s="277">
        <v>333172</v>
      </c>
      <c r="L56" s="353">
        <f>K56/8760</f>
        <v>38.033333333333331</v>
      </c>
      <c r="M56" s="440">
        <v>1</v>
      </c>
    </row>
    <row r="57" spans="1:13" ht="15">
      <c r="A57" s="458" t="s">
        <v>497</v>
      </c>
      <c r="B57" s="460">
        <v>0</v>
      </c>
      <c r="C57" s="460">
        <v>0</v>
      </c>
      <c r="D57" s="460">
        <v>0</v>
      </c>
      <c r="E57" s="460">
        <v>0</v>
      </c>
      <c r="F57" s="460">
        <v>0</v>
      </c>
      <c r="G57" s="460">
        <v>0</v>
      </c>
      <c r="H57" s="277">
        <v>420664</v>
      </c>
      <c r="I57" s="353">
        <f>H57/8760</f>
        <v>48.021004566210046</v>
      </c>
      <c r="J57" s="277">
        <v>4</v>
      </c>
      <c r="K57" s="277">
        <v>420664</v>
      </c>
      <c r="L57" s="353">
        <f>K57/8760</f>
        <v>48.021004566210046</v>
      </c>
      <c r="M57" s="440">
        <v>4</v>
      </c>
    </row>
    <row r="58" spans="1:13" ht="7.9" customHeight="1" thickBot="1">
      <c r="A58" s="239"/>
      <c r="B58" s="240"/>
      <c r="C58" s="187"/>
      <c r="D58" s="235"/>
      <c r="E58" s="338"/>
      <c r="F58" s="232"/>
      <c r="G58" s="338"/>
      <c r="H58" s="338"/>
      <c r="I58" s="232"/>
      <c r="J58" s="236"/>
      <c r="K58" s="236"/>
      <c r="L58" s="237"/>
      <c r="M58" s="296"/>
    </row>
    <row r="59" spans="1:13" ht="17.25" thickTop="1" thickBot="1">
      <c r="A59" s="251" t="s">
        <v>391</v>
      </c>
      <c r="B59" s="416" t="s">
        <v>10</v>
      </c>
      <c r="C59" s="416" t="s">
        <v>10</v>
      </c>
      <c r="D59" s="416" t="s">
        <v>10</v>
      </c>
      <c r="E59" s="417" t="s">
        <v>10</v>
      </c>
      <c r="F59" s="416" t="s">
        <v>10</v>
      </c>
      <c r="G59" s="418" t="s">
        <v>10</v>
      </c>
      <c r="H59" s="416" t="s">
        <v>10</v>
      </c>
      <c r="I59" s="416" t="s">
        <v>10</v>
      </c>
      <c r="J59" s="416" t="s">
        <v>10</v>
      </c>
      <c r="K59" s="472">
        <f>K45+K47+K49+K55</f>
        <v>13207633</v>
      </c>
      <c r="L59" s="393">
        <f>K59/8760</f>
        <v>1507.7206621004566</v>
      </c>
      <c r="M59" s="473">
        <f>M55+M49+M47+M45</f>
        <v>676821</v>
      </c>
    </row>
    <row r="60" spans="1:13" ht="5.45" customHeight="1" thickTop="1">
      <c r="A60" s="240"/>
      <c r="B60" s="240"/>
      <c r="C60" s="187"/>
      <c r="D60" s="188"/>
      <c r="E60" s="188"/>
      <c r="F60" s="189"/>
      <c r="G60" s="188"/>
      <c r="H60" s="188"/>
      <c r="I60" s="189"/>
      <c r="J60" s="188"/>
      <c r="L60" s="189"/>
      <c r="M60" s="188"/>
    </row>
    <row r="61" spans="1:13">
      <c r="A61" s="172" t="s">
        <v>416</v>
      </c>
      <c r="B61" s="240"/>
      <c r="C61" s="187"/>
      <c r="D61" s="188"/>
      <c r="E61" s="188"/>
      <c r="F61" s="189"/>
      <c r="G61" s="188"/>
      <c r="H61" s="188"/>
      <c r="I61" s="189"/>
      <c r="J61" s="188"/>
      <c r="K61" s="188"/>
      <c r="L61" s="189"/>
      <c r="M61" s="188"/>
    </row>
    <row r="62" spans="1:13" ht="5.45" customHeight="1">
      <c r="A62" s="240"/>
      <c r="B62" s="240"/>
      <c r="C62" s="187"/>
      <c r="D62" s="188"/>
      <c r="E62" s="188"/>
      <c r="F62" s="189"/>
      <c r="G62" s="188"/>
      <c r="H62" s="188"/>
      <c r="I62" s="189"/>
      <c r="J62" s="188"/>
      <c r="K62" s="188"/>
      <c r="L62" s="189"/>
      <c r="M62" s="188"/>
    </row>
    <row r="63" spans="1:13" ht="5.45" customHeight="1">
      <c r="A63" s="240"/>
      <c r="B63" s="240"/>
      <c r="C63" s="187"/>
      <c r="D63" s="188"/>
      <c r="E63" s="188"/>
      <c r="F63" s="189"/>
      <c r="G63" s="188"/>
      <c r="H63" s="188"/>
      <c r="I63" s="189"/>
      <c r="J63" s="188"/>
      <c r="K63" s="188"/>
      <c r="L63" s="189"/>
      <c r="M63" s="188"/>
    </row>
    <row r="64" spans="1:13" ht="30" customHeight="1">
      <c r="A64" s="541" t="s">
        <v>395</v>
      </c>
      <c r="B64" s="541"/>
      <c r="C64" s="541"/>
      <c r="D64" s="541"/>
      <c r="E64" s="541"/>
      <c r="F64" s="541"/>
      <c r="G64" s="541"/>
      <c r="H64" s="541"/>
      <c r="I64" s="541"/>
      <c r="J64" s="541"/>
      <c r="K64" s="188"/>
      <c r="L64" s="189"/>
      <c r="M64" s="188"/>
    </row>
    <row r="65" spans="1:14" s="154" customFormat="1" ht="4.9000000000000004" customHeight="1">
      <c r="A65" s="241"/>
      <c r="B65" s="241"/>
      <c r="C65" s="242"/>
      <c r="D65" s="3"/>
      <c r="E65" s="3"/>
      <c r="F65" s="2"/>
      <c r="G65" s="3"/>
      <c r="H65" s="3"/>
      <c r="I65" s="2"/>
      <c r="J65" s="3"/>
      <c r="K65" s="3"/>
      <c r="L65" s="2"/>
      <c r="M65" s="3"/>
    </row>
    <row r="66" spans="1:14" s="154" customFormat="1" ht="14.25">
      <c r="A66" s="433" t="s">
        <v>554</v>
      </c>
      <c r="B66" s="433"/>
      <c r="C66" s="230"/>
      <c r="D66" s="121"/>
      <c r="E66" s="121"/>
      <c r="F66" s="228"/>
      <c r="G66" s="227"/>
      <c r="H66" s="227"/>
      <c r="I66" s="228"/>
      <c r="J66" s="227"/>
      <c r="K66" s="227"/>
      <c r="L66" s="228"/>
      <c r="M66" s="227"/>
    </row>
    <row r="67" spans="1:14" s="154" customFormat="1" ht="15.75" customHeight="1">
      <c r="A67" s="543" t="s">
        <v>555</v>
      </c>
      <c r="B67" s="543"/>
      <c r="C67" s="543"/>
      <c r="D67" s="543"/>
      <c r="E67" s="543"/>
      <c r="F67" s="543"/>
      <c r="G67" s="543"/>
      <c r="H67" s="543"/>
      <c r="I67" s="543"/>
      <c r="J67" s="543"/>
      <c r="K67" s="543"/>
      <c r="L67" s="543"/>
      <c r="M67" s="543"/>
      <c r="N67" s="245"/>
    </row>
    <row r="68" spans="1:14" s="154" customFormat="1" ht="19.149999999999999" customHeight="1">
      <c r="A68" s="434" t="s">
        <v>556</v>
      </c>
      <c r="B68" s="434"/>
      <c r="C68" s="248"/>
      <c r="D68" s="248"/>
      <c r="E68" s="248"/>
      <c r="F68" s="248"/>
      <c r="G68" s="248"/>
      <c r="H68" s="248"/>
      <c r="I68" s="248"/>
      <c r="J68" s="248"/>
      <c r="K68" s="248"/>
      <c r="L68" s="435"/>
      <c r="M68" s="435"/>
      <c r="N68" s="245"/>
    </row>
    <row r="69" spans="1:14" s="154" customFormat="1" ht="29.45" customHeight="1">
      <c r="A69" s="542" t="s">
        <v>557</v>
      </c>
      <c r="B69" s="542"/>
      <c r="C69" s="542"/>
      <c r="D69" s="542"/>
      <c r="E69" s="542"/>
      <c r="F69" s="542"/>
      <c r="G69" s="542"/>
      <c r="H69" s="542"/>
      <c r="I69" s="542"/>
      <c r="J69" s="542"/>
      <c r="K69" s="248"/>
      <c r="L69" s="435"/>
      <c r="M69" s="435"/>
      <c r="N69" s="245"/>
    </row>
    <row r="70" spans="1:14" s="154" customFormat="1" ht="39.6" customHeight="1">
      <c r="A70" s="542" t="s">
        <v>558</v>
      </c>
      <c r="B70" s="542"/>
      <c r="C70" s="542"/>
      <c r="D70" s="542"/>
      <c r="E70" s="542"/>
      <c r="F70" s="542"/>
      <c r="G70" s="542"/>
      <c r="H70" s="542"/>
      <c r="I70" s="542"/>
      <c r="J70" s="542"/>
      <c r="K70" s="248"/>
      <c r="L70" s="435"/>
      <c r="M70" s="435"/>
      <c r="N70" s="245"/>
    </row>
    <row r="71" spans="1:14" s="154" customFormat="1" ht="6" customHeight="1">
      <c r="A71" s="247"/>
      <c r="B71" s="247"/>
      <c r="C71" s="244"/>
      <c r="D71" s="243"/>
      <c r="E71" s="243"/>
      <c r="F71" s="246"/>
      <c r="G71" s="243"/>
      <c r="H71" s="243"/>
      <c r="I71" s="246"/>
      <c r="J71" s="243"/>
      <c r="K71" s="243"/>
      <c r="L71" s="246"/>
      <c r="M71" s="243"/>
      <c r="N71" s="245"/>
    </row>
    <row r="72" spans="1:14" s="154" customFormat="1" ht="14.25" customHeight="1">
      <c r="A72" s="501" t="s">
        <v>423</v>
      </c>
      <c r="B72" s="501"/>
      <c r="C72" s="501"/>
      <c r="D72" s="501"/>
      <c r="E72" s="501"/>
      <c r="F72" s="501"/>
      <c r="G72" s="501"/>
      <c r="H72" s="501"/>
      <c r="I72" s="501"/>
      <c r="J72" s="501"/>
      <c r="K72" s="284"/>
      <c r="L72" s="191"/>
      <c r="M72" s="191"/>
    </row>
    <row r="73" spans="1:14" s="154" customFormat="1" ht="12.75" customHeight="1">
      <c r="A73" s="501"/>
      <c r="B73" s="501"/>
      <c r="C73" s="501"/>
      <c r="D73" s="501"/>
      <c r="E73" s="501"/>
      <c r="F73" s="501"/>
      <c r="G73" s="501"/>
      <c r="H73" s="501"/>
      <c r="I73" s="501"/>
      <c r="J73" s="501"/>
      <c r="K73" s="284"/>
      <c r="L73" s="191"/>
      <c r="M73" s="191"/>
    </row>
    <row r="74" spans="1:14" ht="27" customHeight="1">
      <c r="A74" s="533"/>
      <c r="B74" s="533"/>
      <c r="C74" s="534"/>
      <c r="D74" s="534"/>
      <c r="E74" s="534"/>
      <c r="F74" s="534"/>
      <c r="G74" s="534"/>
      <c r="H74" s="534"/>
      <c r="I74" s="534"/>
      <c r="J74" s="534"/>
      <c r="K74" s="288"/>
    </row>
    <row r="75" spans="1:14" ht="14.25" customHeight="1">
      <c r="M75" s="227" t="s">
        <v>465</v>
      </c>
      <c r="N75" s="474">
        <f>K45</f>
        <v>4711241</v>
      </c>
    </row>
    <row r="76" spans="1:14">
      <c r="M76" s="227" t="s">
        <v>481</v>
      </c>
      <c r="N76" s="474">
        <f>K47</f>
        <v>579522</v>
      </c>
    </row>
    <row r="77" spans="1:14">
      <c r="M77" s="227" t="s">
        <v>467</v>
      </c>
      <c r="N77" s="474">
        <f>K49</f>
        <v>7163034</v>
      </c>
    </row>
    <row r="78" spans="1:14">
      <c r="M78" s="227" t="s">
        <v>468</v>
      </c>
      <c r="N78" s="474">
        <f>K55</f>
        <v>753836</v>
      </c>
    </row>
    <row r="86" s="121" customFormat="1"/>
    <row r="87" s="121" customFormat="1"/>
    <row r="88" s="121" customFormat="1"/>
    <row r="89" s="121" customFormat="1"/>
  </sheetData>
  <mergeCells count="18">
    <mergeCell ref="K41:M41"/>
    <mergeCell ref="K2:M2"/>
    <mergeCell ref="A72:J73"/>
    <mergeCell ref="A74:J74"/>
    <mergeCell ref="B2:D2"/>
    <mergeCell ref="E2:G2"/>
    <mergeCell ref="H2:J2"/>
    <mergeCell ref="A64:J64"/>
    <mergeCell ref="A70:J70"/>
    <mergeCell ref="A69:J69"/>
    <mergeCell ref="A67:M67"/>
    <mergeCell ref="B21:D21"/>
    <mergeCell ref="E21:G21"/>
    <mergeCell ref="H21:J21"/>
    <mergeCell ref="K21:M21"/>
    <mergeCell ref="B41:D41"/>
    <mergeCell ref="E41:G41"/>
    <mergeCell ref="H41:J41"/>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FF0A-23C6-4F21-AC2D-92DF712E10F9}">
  <dimension ref="A1:G56"/>
  <sheetViews>
    <sheetView topLeftCell="A35" workbookViewId="0">
      <selection activeCell="K37" sqref="K37"/>
    </sheetView>
  </sheetViews>
  <sheetFormatPr defaultRowHeight="15"/>
  <cols>
    <col min="3" max="3" width="32.140625" customWidth="1"/>
    <col min="4" max="4" width="19.85546875" customWidth="1"/>
    <col min="5" max="5" width="15.7109375" customWidth="1"/>
    <col min="6" max="6" width="15.85546875" customWidth="1"/>
    <col min="7" max="7" width="13.7109375" customWidth="1"/>
  </cols>
  <sheetData>
    <row r="1" spans="1:7" ht="18">
      <c r="A1" s="432" t="s">
        <v>612</v>
      </c>
    </row>
    <row r="2" spans="1:7">
      <c r="E2" t="s">
        <v>11</v>
      </c>
      <c r="G2" t="s">
        <v>11</v>
      </c>
    </row>
    <row r="3" spans="1:7" ht="38.25">
      <c r="B3" s="422" t="s">
        <v>488</v>
      </c>
      <c r="C3" s="422" t="s">
        <v>489</v>
      </c>
      <c r="D3" s="422" t="s">
        <v>490</v>
      </c>
      <c r="E3" s="423" t="s">
        <v>491</v>
      </c>
      <c r="F3" s="423" t="s">
        <v>524</v>
      </c>
      <c r="G3" s="423" t="s">
        <v>492</v>
      </c>
    </row>
    <row r="4" spans="1:7">
      <c r="B4" s="544" t="s">
        <v>525</v>
      </c>
      <c r="C4" s="545"/>
      <c r="D4" s="545"/>
      <c r="E4" s="545"/>
      <c r="F4" s="545"/>
      <c r="G4" s="546"/>
    </row>
    <row r="5" spans="1:7">
      <c r="B5" s="420">
        <v>2023</v>
      </c>
      <c r="C5" s="419" t="s">
        <v>1</v>
      </c>
      <c r="D5" s="419" t="s">
        <v>467</v>
      </c>
      <c r="E5" s="456">
        <v>720989</v>
      </c>
      <c r="F5" s="425">
        <f>E5/E53</f>
        <v>5.463052682210362E-2</v>
      </c>
      <c r="G5" s="456">
        <v>25469</v>
      </c>
    </row>
    <row r="6" spans="1:7">
      <c r="B6" s="420">
        <v>2023</v>
      </c>
      <c r="C6" s="419" t="s">
        <v>485</v>
      </c>
      <c r="D6" s="419" t="s">
        <v>467</v>
      </c>
      <c r="E6" s="456">
        <v>6291030</v>
      </c>
      <c r="F6" s="425">
        <f>E6/E53</f>
        <v>0.47668172906058004</v>
      </c>
      <c r="G6" s="456">
        <v>401963</v>
      </c>
    </row>
    <row r="7" spans="1:7">
      <c r="B7" s="420">
        <v>2023</v>
      </c>
      <c r="C7" s="419" t="s">
        <v>486</v>
      </c>
      <c r="D7" s="419" t="s">
        <v>467</v>
      </c>
      <c r="E7" s="456">
        <v>149962</v>
      </c>
      <c r="F7" s="425">
        <f>E7/E53</f>
        <v>1.1362868314629354E-2</v>
      </c>
      <c r="G7" s="456">
        <v>40</v>
      </c>
    </row>
    <row r="8" spans="1:7">
      <c r="B8" s="420">
        <v>2023</v>
      </c>
      <c r="C8" s="419" t="s">
        <v>487</v>
      </c>
      <c r="D8" s="419" t="s">
        <v>467</v>
      </c>
      <c r="E8" s="456">
        <v>1053</v>
      </c>
      <c r="F8" s="425">
        <f>E8/E53</f>
        <v>7.9787548414296357E-5</v>
      </c>
      <c r="G8" s="421">
        <v>32</v>
      </c>
    </row>
    <row r="9" spans="1:7">
      <c r="B9" s="426"/>
      <c r="C9" s="427"/>
      <c r="D9" s="427"/>
      <c r="E9" s="430">
        <f>SUM(E5:E8)</f>
        <v>7163034</v>
      </c>
      <c r="F9" s="429">
        <f>E9/E53</f>
        <v>0.54275491174572732</v>
      </c>
      <c r="G9" s="430">
        <f>SUM(G5:G8)</f>
        <v>427504</v>
      </c>
    </row>
    <row r="10" spans="1:7">
      <c r="B10" s="426"/>
      <c r="C10" s="427"/>
      <c r="D10" s="427"/>
    </row>
    <row r="11" spans="1:7">
      <c r="B11" s="544" t="s">
        <v>526</v>
      </c>
      <c r="C11" s="545"/>
      <c r="D11" s="545"/>
      <c r="E11" s="545"/>
      <c r="F11" s="545"/>
      <c r="G11" s="546"/>
    </row>
    <row r="12" spans="1:7">
      <c r="B12" s="420">
        <v>2023</v>
      </c>
      <c r="C12" s="419" t="s">
        <v>493</v>
      </c>
      <c r="D12" s="419" t="s">
        <v>466</v>
      </c>
      <c r="E12" s="456">
        <v>416303</v>
      </c>
      <c r="F12" s="425">
        <f>E12/E53</f>
        <v>3.154396559118406E-2</v>
      </c>
      <c r="G12" s="456">
        <v>22806</v>
      </c>
    </row>
    <row r="13" spans="1:7" ht="26.25">
      <c r="B13" s="420">
        <v>2023</v>
      </c>
      <c r="C13" s="419" t="s">
        <v>494</v>
      </c>
      <c r="D13" s="419" t="s">
        <v>466</v>
      </c>
      <c r="E13" s="456">
        <v>153134</v>
      </c>
      <c r="F13" s="425">
        <f>E13/E53</f>
        <v>1.1603215991334149E-2</v>
      </c>
      <c r="G13" s="456">
        <v>16</v>
      </c>
    </row>
    <row r="14" spans="1:7">
      <c r="B14" s="426"/>
      <c r="C14" s="427"/>
      <c r="D14" s="427"/>
      <c r="E14" s="430">
        <f>SUM(E12:E13)</f>
        <v>569437</v>
      </c>
      <c r="F14" s="429">
        <f>E14/13197548</f>
        <v>4.3147181582518207E-2</v>
      </c>
      <c r="G14" s="430">
        <f>SUM(G12:G13)</f>
        <v>22822</v>
      </c>
    </row>
    <row r="15" spans="1:7">
      <c r="B15" s="544" t="s">
        <v>294</v>
      </c>
      <c r="C15" s="545"/>
      <c r="D15" s="545"/>
      <c r="E15" s="545"/>
      <c r="F15" s="545"/>
      <c r="G15" s="546"/>
    </row>
    <row r="16" spans="1:7">
      <c r="B16" s="420">
        <v>2023</v>
      </c>
      <c r="C16" s="419" t="s">
        <v>495</v>
      </c>
      <c r="D16" s="419" t="s">
        <v>496</v>
      </c>
      <c r="E16" s="456">
        <v>333172</v>
      </c>
      <c r="F16" s="425">
        <f>E16/13197548</f>
        <v>2.524499247890593E-2</v>
      </c>
      <c r="G16" s="456">
        <v>1</v>
      </c>
    </row>
    <row r="17" spans="2:7" ht="13.9" customHeight="1">
      <c r="B17" s="420">
        <v>2023</v>
      </c>
      <c r="C17" s="419" t="s">
        <v>497</v>
      </c>
      <c r="D17" s="419" t="s">
        <v>496</v>
      </c>
      <c r="E17" s="456">
        <v>420664</v>
      </c>
      <c r="F17" s="425">
        <f>E17/13197548</f>
        <v>3.1874405760827694E-2</v>
      </c>
      <c r="G17" s="456">
        <v>4</v>
      </c>
    </row>
    <row r="18" spans="2:7">
      <c r="B18" s="426"/>
      <c r="C18" s="427"/>
      <c r="D18" s="427"/>
      <c r="E18" s="430">
        <f>SUM(E16:E17)</f>
        <v>753836</v>
      </c>
      <c r="F18" s="429">
        <f>E18/13197548</f>
        <v>5.7119398239733624E-2</v>
      </c>
      <c r="G18" s="430">
        <v>5</v>
      </c>
    </row>
    <row r="19" spans="2:7">
      <c r="B19" s="426"/>
      <c r="C19" s="427"/>
      <c r="D19" s="427"/>
    </row>
    <row r="20" spans="2:7">
      <c r="B20" s="544" t="s">
        <v>465</v>
      </c>
      <c r="C20" s="545"/>
      <c r="D20" s="545"/>
      <c r="E20" s="545"/>
      <c r="F20" s="545"/>
      <c r="G20" s="546"/>
    </row>
    <row r="21" spans="2:7">
      <c r="B21" s="457">
        <v>2023</v>
      </c>
      <c r="C21" s="424" t="s">
        <v>527</v>
      </c>
      <c r="D21" s="419" t="s">
        <v>499</v>
      </c>
      <c r="E21" s="456">
        <v>50838</v>
      </c>
      <c r="F21" s="425">
        <f>E21/13197548</f>
        <v>3.8520791892554585E-3</v>
      </c>
      <c r="G21" s="456">
        <v>2078</v>
      </c>
    </row>
    <row r="22" spans="2:7">
      <c r="B22" s="457">
        <v>2023</v>
      </c>
      <c r="C22" s="424" t="s">
        <v>528</v>
      </c>
      <c r="D22" s="419" t="s">
        <v>499</v>
      </c>
      <c r="E22" s="456">
        <v>1576405</v>
      </c>
      <c r="F22" s="425">
        <f>E22/13197548</f>
        <v>0.11944680936186025</v>
      </c>
      <c r="G22" s="456">
        <v>74239</v>
      </c>
    </row>
    <row r="23" spans="2:7">
      <c r="B23" s="457">
        <v>2023</v>
      </c>
      <c r="C23" s="424" t="s">
        <v>529</v>
      </c>
      <c r="D23" s="419" t="s">
        <v>499</v>
      </c>
      <c r="E23" s="456">
        <v>262676</v>
      </c>
      <c r="F23" s="425">
        <f>E23/13197548</f>
        <v>1.9903394175948441E-2</v>
      </c>
      <c r="G23" s="456">
        <v>5171</v>
      </c>
    </row>
    <row r="24" spans="2:7">
      <c r="B24" s="457">
        <v>2023</v>
      </c>
      <c r="C24" s="424" t="s">
        <v>530</v>
      </c>
      <c r="D24" s="419" t="s">
        <v>499</v>
      </c>
      <c r="E24" s="456">
        <v>652</v>
      </c>
      <c r="F24" s="425">
        <f t="shared" ref="F24:F51" si="0">E24/13197548</f>
        <v>4.9403116397076183E-5</v>
      </c>
      <c r="G24" s="456">
        <v>116</v>
      </c>
    </row>
    <row r="25" spans="2:7">
      <c r="B25" s="457">
        <v>2023</v>
      </c>
      <c r="C25" s="424" t="s">
        <v>531</v>
      </c>
      <c r="D25" s="419" t="s">
        <v>499</v>
      </c>
      <c r="E25" s="456">
        <v>261802</v>
      </c>
      <c r="F25" s="425">
        <f t="shared" si="0"/>
        <v>1.9837169753048067E-2</v>
      </c>
      <c r="G25" s="456">
        <v>16258</v>
      </c>
    </row>
    <row r="26" spans="2:7">
      <c r="B26" s="420">
        <v>2023</v>
      </c>
      <c r="C26" s="419" t="s">
        <v>498</v>
      </c>
      <c r="D26" s="419" t="s">
        <v>499</v>
      </c>
      <c r="E26" s="456">
        <v>64362</v>
      </c>
      <c r="F26" s="425">
        <f t="shared" si="0"/>
        <v>4.8768149962402103E-3</v>
      </c>
      <c r="G26" s="456">
        <v>4266</v>
      </c>
    </row>
    <row r="27" spans="2:7">
      <c r="B27" s="420">
        <v>2023</v>
      </c>
      <c r="C27" s="419" t="s">
        <v>500</v>
      </c>
      <c r="D27" s="419" t="s">
        <v>499</v>
      </c>
      <c r="E27" s="456">
        <v>73699</v>
      </c>
      <c r="F27" s="425">
        <f t="shared" si="0"/>
        <v>5.5842949008406712E-3</v>
      </c>
      <c r="G27" s="456">
        <v>175</v>
      </c>
    </row>
    <row r="28" spans="2:7">
      <c r="B28" s="420">
        <v>2023</v>
      </c>
      <c r="C28" s="419" t="s">
        <v>501</v>
      </c>
      <c r="D28" s="419" t="s">
        <v>499</v>
      </c>
      <c r="E28" s="456">
        <v>313535</v>
      </c>
      <c r="F28" s="425">
        <f t="shared" si="0"/>
        <v>2.3757064569873133E-2</v>
      </c>
      <c r="G28" s="456">
        <v>22826</v>
      </c>
    </row>
    <row r="29" spans="2:7">
      <c r="B29" s="420">
        <v>2023</v>
      </c>
      <c r="C29" s="419" t="s">
        <v>502</v>
      </c>
      <c r="D29" s="419" t="s">
        <v>499</v>
      </c>
      <c r="E29" s="456">
        <v>271764</v>
      </c>
      <c r="F29" s="425">
        <f t="shared" si="0"/>
        <v>2.0592006939470879E-2</v>
      </c>
      <c r="G29" s="456">
        <v>6911</v>
      </c>
    </row>
    <row r="30" spans="2:7">
      <c r="B30" s="457">
        <v>2023</v>
      </c>
      <c r="C30" s="424" t="s">
        <v>503</v>
      </c>
      <c r="D30" s="419" t="s">
        <v>499</v>
      </c>
      <c r="E30" s="428">
        <v>68694</v>
      </c>
      <c r="F30" s="425">
        <f t="shared" si="0"/>
        <v>5.2050577880072878E-3</v>
      </c>
      <c r="G30" s="428">
        <v>6309</v>
      </c>
    </row>
    <row r="31" spans="2:7">
      <c r="B31" s="457">
        <v>2023</v>
      </c>
      <c r="C31" s="424" t="s">
        <v>504</v>
      </c>
      <c r="D31" s="419" t="s">
        <v>499</v>
      </c>
      <c r="E31" s="428">
        <v>29099</v>
      </c>
      <c r="F31" s="425">
        <f t="shared" si="0"/>
        <v>2.2048792699977298E-3</v>
      </c>
      <c r="G31" s="428">
        <v>2085</v>
      </c>
    </row>
    <row r="32" spans="2:7">
      <c r="B32" s="457">
        <v>2023</v>
      </c>
      <c r="C32" s="424" t="s">
        <v>505</v>
      </c>
      <c r="D32" s="419" t="s">
        <v>499</v>
      </c>
      <c r="E32" s="428">
        <v>22788</v>
      </c>
      <c r="F32" s="425">
        <f t="shared" si="0"/>
        <v>1.726684381068362E-3</v>
      </c>
      <c r="G32" s="428">
        <v>71</v>
      </c>
    </row>
    <row r="33" spans="2:7">
      <c r="B33" s="457">
        <v>2023</v>
      </c>
      <c r="C33" s="424" t="s">
        <v>506</v>
      </c>
      <c r="D33" s="419" t="s">
        <v>499</v>
      </c>
      <c r="E33" s="428">
        <v>53123</v>
      </c>
      <c r="F33" s="425">
        <f t="shared" si="0"/>
        <v>4.0252174115979729E-3</v>
      </c>
      <c r="G33" s="428">
        <v>3685</v>
      </c>
    </row>
    <row r="34" spans="2:7">
      <c r="B34" s="457">
        <v>2023</v>
      </c>
      <c r="C34" s="424" t="s">
        <v>507</v>
      </c>
      <c r="D34" s="419" t="s">
        <v>499</v>
      </c>
      <c r="E34" s="428">
        <v>166337</v>
      </c>
      <c r="F34" s="425">
        <f t="shared" si="0"/>
        <v>1.260362909837494E-2</v>
      </c>
      <c r="G34" s="428">
        <v>7936</v>
      </c>
    </row>
    <row r="35" spans="2:7">
      <c r="B35" s="420">
        <v>2023</v>
      </c>
      <c r="C35" s="424" t="s">
        <v>508</v>
      </c>
      <c r="D35" s="419" t="s">
        <v>499</v>
      </c>
      <c r="E35" s="428">
        <v>9973</v>
      </c>
      <c r="F35" s="425">
        <f t="shared" si="0"/>
        <v>7.5567067458288462E-4</v>
      </c>
      <c r="G35" s="428">
        <v>852</v>
      </c>
    </row>
    <row r="36" spans="2:7">
      <c r="B36" s="420">
        <v>2023</v>
      </c>
      <c r="C36" s="424" t="s">
        <v>509</v>
      </c>
      <c r="D36" s="419" t="s">
        <v>499</v>
      </c>
      <c r="E36" s="428">
        <v>143</v>
      </c>
      <c r="F36" s="425">
        <f t="shared" si="0"/>
        <v>1.0835346080953826E-5</v>
      </c>
      <c r="G36" s="428">
        <v>15</v>
      </c>
    </row>
    <row r="37" spans="2:7">
      <c r="B37" s="420">
        <v>2023</v>
      </c>
      <c r="C37" s="424" t="s">
        <v>510</v>
      </c>
      <c r="D37" s="419" t="s">
        <v>499</v>
      </c>
      <c r="E37" s="428">
        <v>186866</v>
      </c>
      <c r="F37" s="425">
        <f t="shared" si="0"/>
        <v>1.4159145320024599E-2</v>
      </c>
      <c r="G37" s="428">
        <v>3953</v>
      </c>
    </row>
    <row r="38" spans="2:7">
      <c r="B38" s="420">
        <v>2023</v>
      </c>
      <c r="C38" s="424" t="s">
        <v>511</v>
      </c>
      <c r="D38" s="419" t="s">
        <v>499</v>
      </c>
      <c r="E38" s="428">
        <v>132171</v>
      </c>
      <c r="F38" s="425">
        <f t="shared" si="0"/>
        <v>1.0014814873187049E-2</v>
      </c>
      <c r="G38" s="428">
        <v>6727</v>
      </c>
    </row>
    <row r="39" spans="2:7">
      <c r="B39" s="457">
        <v>2023</v>
      </c>
      <c r="C39" s="424" t="s">
        <v>512</v>
      </c>
      <c r="D39" s="419" t="s">
        <v>499</v>
      </c>
      <c r="E39" s="428">
        <v>75335</v>
      </c>
      <c r="F39" s="425">
        <f t="shared" si="0"/>
        <v>5.7082573217388565E-3</v>
      </c>
      <c r="G39" s="428">
        <v>3836</v>
      </c>
    </row>
    <row r="40" spans="2:7">
      <c r="B40" s="457">
        <v>2023</v>
      </c>
      <c r="C40" s="424" t="s">
        <v>513</v>
      </c>
      <c r="D40" s="419" t="s">
        <v>499</v>
      </c>
      <c r="E40" s="428">
        <v>68945</v>
      </c>
      <c r="F40" s="425">
        <f t="shared" si="0"/>
        <v>5.2240764723871435E-3</v>
      </c>
      <c r="G40" s="428">
        <v>5444</v>
      </c>
    </row>
    <row r="41" spans="2:7">
      <c r="B41" s="457">
        <v>2023</v>
      </c>
      <c r="C41" s="424" t="s">
        <v>514</v>
      </c>
      <c r="D41" s="419" t="s">
        <v>499</v>
      </c>
      <c r="E41" s="428">
        <v>27428</v>
      </c>
      <c r="F41" s="425">
        <f t="shared" si="0"/>
        <v>2.0782648413174933E-3</v>
      </c>
      <c r="G41" s="428">
        <v>2035</v>
      </c>
    </row>
    <row r="42" spans="2:7">
      <c r="B42" s="457">
        <v>2023</v>
      </c>
      <c r="C42" s="424" t="s">
        <v>515</v>
      </c>
      <c r="D42" s="419" t="s">
        <v>499</v>
      </c>
      <c r="E42" s="428">
        <v>51164</v>
      </c>
      <c r="F42" s="425">
        <f t="shared" si="0"/>
        <v>3.8767807474539969E-3</v>
      </c>
      <c r="G42" s="428">
        <v>3564</v>
      </c>
    </row>
    <row r="43" spans="2:7">
      <c r="B43" s="457">
        <v>2023</v>
      </c>
      <c r="C43" s="424" t="s">
        <v>516</v>
      </c>
      <c r="D43" s="419" t="s">
        <v>499</v>
      </c>
      <c r="E43" s="428">
        <v>192003</v>
      </c>
      <c r="F43" s="425">
        <f t="shared" si="0"/>
        <v>1.4548384290778862E-2</v>
      </c>
      <c r="G43" s="428">
        <v>6783</v>
      </c>
    </row>
    <row r="44" spans="2:7">
      <c r="B44" s="420">
        <v>2023</v>
      </c>
      <c r="C44" s="424" t="s">
        <v>517</v>
      </c>
      <c r="D44" s="419" t="s">
        <v>499</v>
      </c>
      <c r="E44" s="428">
        <v>100785</v>
      </c>
      <c r="F44" s="425">
        <f t="shared" si="0"/>
        <v>7.6366458375449744E-3</v>
      </c>
      <c r="G44" s="428">
        <v>3771</v>
      </c>
    </row>
    <row r="45" spans="2:7">
      <c r="B45" s="420">
        <v>2023</v>
      </c>
      <c r="C45" s="424" t="s">
        <v>518</v>
      </c>
      <c r="D45" s="419" t="s">
        <v>499</v>
      </c>
      <c r="E45" s="428">
        <v>60713</v>
      </c>
      <c r="F45" s="425">
        <f t="shared" si="0"/>
        <v>4.6003242420485984E-3</v>
      </c>
      <c r="G45" s="428">
        <v>2181</v>
      </c>
    </row>
    <row r="46" spans="2:7">
      <c r="B46" s="420">
        <v>2023</v>
      </c>
      <c r="C46" s="424" t="s">
        <v>519</v>
      </c>
      <c r="D46" s="419" t="s">
        <v>499</v>
      </c>
      <c r="E46" s="428">
        <v>99585</v>
      </c>
      <c r="F46" s="425">
        <f t="shared" si="0"/>
        <v>7.545719856446061E-3</v>
      </c>
      <c r="G46" s="428">
        <v>6202</v>
      </c>
    </row>
    <row r="47" spans="2:7">
      <c r="B47" s="420">
        <v>2023</v>
      </c>
      <c r="C47" s="424" t="s">
        <v>520</v>
      </c>
      <c r="D47" s="419" t="s">
        <v>499</v>
      </c>
      <c r="E47" s="428">
        <v>95800</v>
      </c>
      <c r="F47" s="425">
        <f t="shared" si="0"/>
        <v>7.2589241577299055E-3</v>
      </c>
      <c r="G47" s="428">
        <v>5154</v>
      </c>
    </row>
    <row r="48" spans="2:7">
      <c r="B48" s="457">
        <v>2023</v>
      </c>
      <c r="C48" s="424" t="s">
        <v>521</v>
      </c>
      <c r="D48" t="s">
        <v>614</v>
      </c>
      <c r="E48" s="428">
        <v>17400</v>
      </c>
      <c r="F48" s="425">
        <f t="shared" si="0"/>
        <v>1.3184267259342417E-3</v>
      </c>
      <c r="G48" s="428">
        <v>1050</v>
      </c>
    </row>
    <row r="49" spans="2:7">
      <c r="B49" s="457">
        <v>2023</v>
      </c>
      <c r="C49" s="424" t="s">
        <v>522</v>
      </c>
      <c r="D49" s="419" t="s">
        <v>499</v>
      </c>
      <c r="E49" s="428">
        <v>185965</v>
      </c>
      <c r="F49" s="425">
        <f t="shared" si="0"/>
        <v>1.4090875062549498E-2</v>
      </c>
      <c r="G49" s="428">
        <v>11166</v>
      </c>
    </row>
    <row r="50" spans="2:7">
      <c r="B50" s="457">
        <v>2023</v>
      </c>
      <c r="C50" s="424" t="s">
        <v>523</v>
      </c>
      <c r="D50" s="419" t="s">
        <v>499</v>
      </c>
      <c r="E50" s="428">
        <v>191191</v>
      </c>
      <c r="F50" s="425">
        <f t="shared" si="0"/>
        <v>1.4486857710235265E-2</v>
      </c>
      <c r="G50" s="428">
        <v>11907</v>
      </c>
    </row>
    <row r="51" spans="2:7">
      <c r="B51" s="287"/>
      <c r="C51" s="415"/>
      <c r="E51" s="430">
        <f>SUM(E21:E50)</f>
        <v>4711241</v>
      </c>
      <c r="F51" s="429">
        <f t="shared" si="0"/>
        <v>0.35697850843202084</v>
      </c>
      <c r="G51" s="430">
        <f>SUM(G21:G50)</f>
        <v>226766</v>
      </c>
    </row>
    <row r="52" spans="2:7">
      <c r="B52" s="287"/>
      <c r="C52" s="415"/>
      <c r="E52" s="468"/>
      <c r="F52" s="469"/>
      <c r="G52" s="468"/>
    </row>
    <row r="53" spans="2:7">
      <c r="B53" s="287"/>
      <c r="C53" s="415"/>
      <c r="D53" s="249" t="s">
        <v>615</v>
      </c>
      <c r="E53" s="467">
        <f>E51+E18+E14+E9</f>
        <v>13197548</v>
      </c>
      <c r="F53" s="469"/>
      <c r="G53" s="467">
        <f>G51+G18+G14+G9</f>
        <v>677097</v>
      </c>
    </row>
    <row r="55" spans="2:7" ht="17.25">
      <c r="B55" t="s">
        <v>545</v>
      </c>
    </row>
    <row r="56" spans="2:7">
      <c r="B56" t="s">
        <v>546</v>
      </c>
    </row>
  </sheetData>
  <mergeCells count="4">
    <mergeCell ref="B4:G4"/>
    <mergeCell ref="B11:G11"/>
    <mergeCell ref="B15:G15"/>
    <mergeCell ref="B20:G20"/>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3"/>
  <sheetViews>
    <sheetView zoomScale="75" zoomScaleNormal="75" workbookViewId="0"/>
  </sheetViews>
  <sheetFormatPr defaultRowHeight="15"/>
  <cols>
    <col min="3" max="3" width="24.42578125" customWidth="1"/>
    <col min="4" max="4" width="29.85546875" bestFit="1" customWidth="1"/>
    <col min="5" max="5" width="16.42578125" bestFit="1" customWidth="1"/>
    <col min="15" max="15" width="31.85546875" customWidth="1"/>
  </cols>
  <sheetData>
    <row r="1" spans="1:5" ht="18">
      <c r="A1" s="355" t="s">
        <v>616</v>
      </c>
    </row>
    <row r="4" spans="1:5">
      <c r="B4" t="s">
        <v>16</v>
      </c>
      <c r="C4" t="s">
        <v>366</v>
      </c>
      <c r="D4" t="s">
        <v>407</v>
      </c>
      <c r="E4" t="s">
        <v>482</v>
      </c>
    </row>
    <row r="5" spans="1:5">
      <c r="D5" s="257" t="s">
        <v>316</v>
      </c>
    </row>
    <row r="6" spans="1:5">
      <c r="C6" t="s">
        <v>347</v>
      </c>
      <c r="D6" t="s">
        <v>405</v>
      </c>
    </row>
    <row r="7" spans="1:5">
      <c r="B7" s="262">
        <v>1960</v>
      </c>
      <c r="C7" s="59">
        <v>4575</v>
      </c>
      <c r="D7" s="266">
        <v>5992</v>
      </c>
      <c r="E7" s="334">
        <f>(D7-C7)/D7</f>
        <v>0.23648197596795728</v>
      </c>
    </row>
    <row r="8" spans="1:5">
      <c r="B8" s="262">
        <v>1961</v>
      </c>
      <c r="C8" s="59">
        <v>4697</v>
      </c>
      <c r="D8" s="266">
        <v>6780</v>
      </c>
      <c r="E8" s="334">
        <f t="shared" ref="E8:E70" si="0">(D8-C8)/D8</f>
        <v>0.30722713864306783</v>
      </c>
    </row>
    <row r="9" spans="1:5">
      <c r="B9" s="262">
        <v>1962</v>
      </c>
      <c r="C9" s="59">
        <v>4946</v>
      </c>
      <c r="D9" s="266">
        <v>7051</v>
      </c>
      <c r="E9" s="334">
        <f t="shared" si="0"/>
        <v>0.29853921429584457</v>
      </c>
    </row>
    <row r="10" spans="1:5">
      <c r="B10" s="262">
        <v>1963</v>
      </c>
      <c r="C10" s="59">
        <v>5101</v>
      </c>
      <c r="D10" s="266">
        <v>6594</v>
      </c>
      <c r="E10" s="334">
        <f t="shared" si="0"/>
        <v>0.22641795571731876</v>
      </c>
    </row>
    <row r="11" spans="1:5">
      <c r="B11" s="262">
        <v>1964</v>
      </c>
      <c r="C11" s="59">
        <v>5541</v>
      </c>
      <c r="D11" s="266">
        <v>7329</v>
      </c>
      <c r="E11" s="334">
        <f t="shared" si="0"/>
        <v>0.24396234138354483</v>
      </c>
    </row>
    <row r="12" spans="1:5">
      <c r="B12" s="262">
        <v>1965</v>
      </c>
      <c r="C12" s="59">
        <v>6080</v>
      </c>
      <c r="D12" s="266">
        <v>8845</v>
      </c>
      <c r="E12" s="334">
        <f t="shared" si="0"/>
        <v>0.31260599208592427</v>
      </c>
    </row>
    <row r="13" spans="1:5">
      <c r="B13" s="262">
        <v>1966</v>
      </c>
      <c r="C13" s="59">
        <v>6902</v>
      </c>
      <c r="D13" s="266">
        <v>8573</v>
      </c>
      <c r="E13" s="334">
        <f t="shared" si="0"/>
        <v>0.1949142657179517</v>
      </c>
    </row>
    <row r="14" spans="1:5">
      <c r="B14" s="262">
        <v>1967</v>
      </c>
      <c r="C14" s="59">
        <v>6612</v>
      </c>
      <c r="D14" s="266">
        <v>9061</v>
      </c>
      <c r="E14" s="334">
        <f t="shared" si="0"/>
        <v>0.27027921862929039</v>
      </c>
    </row>
    <row r="15" spans="1:5">
      <c r="B15" s="262">
        <v>1968</v>
      </c>
      <c r="C15" s="59">
        <v>7433</v>
      </c>
      <c r="D15" s="266">
        <v>9421</v>
      </c>
      <c r="E15" s="334">
        <f t="shared" si="0"/>
        <v>0.21101793864770194</v>
      </c>
    </row>
    <row r="16" spans="1:5">
      <c r="B16" s="262">
        <v>1969</v>
      </c>
      <c r="C16" s="59">
        <v>8781</v>
      </c>
      <c r="D16" s="266">
        <v>10381</v>
      </c>
      <c r="E16" s="334">
        <f t="shared" si="0"/>
        <v>0.1541277333590213</v>
      </c>
    </row>
    <row r="17" spans="2:5">
      <c r="B17" s="262">
        <v>1970</v>
      </c>
      <c r="C17" s="59">
        <v>8750</v>
      </c>
      <c r="D17" s="266">
        <v>9953</v>
      </c>
      <c r="E17" s="334">
        <f t="shared" si="0"/>
        <v>0.12086807997588667</v>
      </c>
    </row>
    <row r="18" spans="2:5">
      <c r="B18" s="262">
        <v>1971</v>
      </c>
      <c r="C18" s="59">
        <v>8890</v>
      </c>
      <c r="D18" s="266">
        <v>10593</v>
      </c>
      <c r="E18" s="334">
        <f t="shared" si="0"/>
        <v>0.16076654394411405</v>
      </c>
    </row>
    <row r="19" spans="2:5">
      <c r="B19" s="262">
        <v>1972</v>
      </c>
      <c r="C19" s="59">
        <v>8763</v>
      </c>
      <c r="D19" s="266">
        <v>10639</v>
      </c>
      <c r="E19" s="334">
        <f t="shared" si="0"/>
        <v>0.17633236206410377</v>
      </c>
    </row>
    <row r="20" spans="2:5">
      <c r="B20" s="262">
        <v>1973</v>
      </c>
      <c r="C20" s="59">
        <v>8217</v>
      </c>
      <c r="D20" s="266">
        <v>9084</v>
      </c>
      <c r="E20" s="334">
        <f t="shared" si="0"/>
        <v>9.5442536327608976E-2</v>
      </c>
    </row>
    <row r="21" spans="2:5">
      <c r="B21" s="262">
        <v>1974</v>
      </c>
      <c r="C21" s="59">
        <v>9171</v>
      </c>
      <c r="D21" s="266">
        <v>11040</v>
      </c>
      <c r="E21" s="334">
        <f t="shared" si="0"/>
        <v>0.16929347826086957</v>
      </c>
    </row>
    <row r="22" spans="2:5">
      <c r="B22" s="262">
        <v>1975</v>
      </c>
      <c r="C22" s="59">
        <v>8575</v>
      </c>
      <c r="D22" s="266">
        <v>11217</v>
      </c>
      <c r="E22" s="334">
        <f t="shared" si="0"/>
        <v>0.23553534813229918</v>
      </c>
    </row>
    <row r="23" spans="2:5">
      <c r="B23" s="262">
        <v>1976</v>
      </c>
      <c r="C23" s="59">
        <v>9911</v>
      </c>
      <c r="D23" s="266">
        <v>16054</v>
      </c>
      <c r="E23" s="334">
        <f t="shared" si="0"/>
        <v>0.3826460695153856</v>
      </c>
    </row>
    <row r="24" spans="2:5">
      <c r="B24" s="262">
        <v>1977</v>
      </c>
      <c r="C24" s="59">
        <v>10013</v>
      </c>
      <c r="D24" s="266">
        <v>13427</v>
      </c>
      <c r="E24" s="334">
        <f t="shared" si="0"/>
        <v>0.25426379682728828</v>
      </c>
    </row>
    <row r="25" spans="2:5">
      <c r="B25" s="262">
        <v>1978</v>
      </c>
      <c r="C25" s="59">
        <v>10786</v>
      </c>
      <c r="D25" s="266">
        <v>16698</v>
      </c>
      <c r="E25" s="334">
        <f t="shared" si="0"/>
        <v>0.35405437776979282</v>
      </c>
    </row>
    <row r="26" spans="2:5">
      <c r="B26" s="262">
        <v>1979</v>
      </c>
      <c r="C26" s="59">
        <v>11129</v>
      </c>
      <c r="D26" s="266">
        <v>15704</v>
      </c>
      <c r="E26" s="334">
        <f t="shared" si="0"/>
        <v>0.29132705043301071</v>
      </c>
    </row>
    <row r="27" spans="2:5">
      <c r="B27" s="262">
        <v>1980</v>
      </c>
      <c r="C27" s="59">
        <v>10825</v>
      </c>
      <c r="D27" s="266">
        <v>15479</v>
      </c>
      <c r="E27" s="334">
        <f t="shared" si="0"/>
        <v>0.30066541766263971</v>
      </c>
    </row>
    <row r="28" spans="2:5">
      <c r="B28" s="262">
        <v>1981</v>
      </c>
      <c r="C28" s="59">
        <v>10956</v>
      </c>
      <c r="D28" s="266">
        <v>16559</v>
      </c>
      <c r="E28" s="334">
        <f t="shared" si="0"/>
        <v>0.33836584334802827</v>
      </c>
    </row>
    <row r="29" spans="2:5">
      <c r="B29" s="262">
        <v>1982</v>
      </c>
      <c r="C29" s="59">
        <v>10276</v>
      </c>
      <c r="D29" s="266">
        <v>14816</v>
      </c>
      <c r="E29" s="334">
        <f t="shared" si="0"/>
        <v>0.30642548596112312</v>
      </c>
    </row>
    <row r="30" spans="2:5">
      <c r="B30" s="262">
        <v>1983</v>
      </c>
      <c r="C30" s="59">
        <v>9813</v>
      </c>
      <c r="D30" s="266">
        <v>15057.22976</v>
      </c>
      <c r="E30" s="334">
        <f t="shared" si="0"/>
        <v>0.34828649383643329</v>
      </c>
    </row>
    <row r="31" spans="2:5">
      <c r="B31" s="262">
        <v>1984</v>
      </c>
      <c r="C31" s="59">
        <v>11466</v>
      </c>
      <c r="D31" s="266">
        <v>18838.5288</v>
      </c>
      <c r="E31" s="334">
        <f t="shared" si="0"/>
        <v>0.39135374520328786</v>
      </c>
    </row>
    <row r="32" spans="2:5">
      <c r="B32" s="262">
        <v>1985</v>
      </c>
      <c r="C32" s="59">
        <v>11822</v>
      </c>
      <c r="D32" s="266">
        <v>18716.791689999998</v>
      </c>
      <c r="E32" s="334">
        <f t="shared" si="0"/>
        <v>0.36837465545357034</v>
      </c>
    </row>
    <row r="33" spans="2:5">
      <c r="B33" s="262">
        <v>1986</v>
      </c>
      <c r="C33" s="59">
        <v>11593</v>
      </c>
      <c r="D33" s="266">
        <v>22393.10356</v>
      </c>
      <c r="E33" s="334">
        <f t="shared" si="0"/>
        <v>0.48229596808956121</v>
      </c>
    </row>
    <row r="34" spans="2:5">
      <c r="B34" s="262">
        <v>1987</v>
      </c>
      <c r="C34" s="59">
        <v>12423</v>
      </c>
      <c r="D34" s="266">
        <v>20841.854391000001</v>
      </c>
      <c r="E34" s="334">
        <f t="shared" si="0"/>
        <v>0.40393979504220406</v>
      </c>
    </row>
    <row r="35" spans="2:5">
      <c r="B35" s="262">
        <v>1988</v>
      </c>
      <c r="C35" s="59">
        <v>12942</v>
      </c>
      <c r="D35" s="266">
        <v>24775.129354999997</v>
      </c>
      <c r="E35" s="334">
        <f t="shared" si="0"/>
        <v>0.47762129454278279</v>
      </c>
    </row>
    <row r="36" spans="2:5">
      <c r="B36" s="262">
        <v>1989</v>
      </c>
      <c r="C36" s="59">
        <v>13061</v>
      </c>
      <c r="D36" s="266">
        <v>25782.404576000001</v>
      </c>
      <c r="E36" s="334">
        <f t="shared" si="0"/>
        <v>0.49341420186393092</v>
      </c>
    </row>
    <row r="37" spans="2:5">
      <c r="B37" s="262">
        <v>1990</v>
      </c>
      <c r="C37" s="59">
        <v>13124.583000000001</v>
      </c>
      <c r="D37" s="266">
        <v>26030</v>
      </c>
      <c r="E37" s="334">
        <f t="shared" si="0"/>
        <v>0.49579012677679596</v>
      </c>
    </row>
    <row r="38" spans="2:5">
      <c r="B38" s="262">
        <v>1991</v>
      </c>
      <c r="C38" s="59">
        <v>13406.6</v>
      </c>
      <c r="D38" s="266">
        <v>28553</v>
      </c>
      <c r="E38" s="334">
        <f t="shared" si="0"/>
        <v>0.53046615066718028</v>
      </c>
    </row>
    <row r="39" spans="2:5">
      <c r="B39" s="262">
        <v>1992</v>
      </c>
      <c r="C39" s="59">
        <v>13096.382</v>
      </c>
      <c r="D39" s="266">
        <v>25900</v>
      </c>
      <c r="E39" s="334">
        <f t="shared" si="0"/>
        <v>0.49434818532818536</v>
      </c>
    </row>
    <row r="40" spans="2:5">
      <c r="B40" s="262">
        <v>1993</v>
      </c>
      <c r="C40" s="59">
        <v>12929.227000000001</v>
      </c>
      <c r="D40" s="266">
        <v>23873</v>
      </c>
      <c r="E40" s="334">
        <f t="shared" si="0"/>
        <v>0.45841632806936705</v>
      </c>
    </row>
    <row r="41" spans="2:5">
      <c r="B41" s="262">
        <v>1994</v>
      </c>
      <c r="C41" s="59">
        <v>13184.134</v>
      </c>
      <c r="D41" s="266">
        <v>25153</v>
      </c>
      <c r="E41" s="334">
        <f t="shared" si="0"/>
        <v>0.47584248399793266</v>
      </c>
    </row>
    <row r="42" spans="2:5">
      <c r="B42" s="262">
        <v>1995</v>
      </c>
      <c r="C42" s="59">
        <v>13418.522999999999</v>
      </c>
      <c r="D42" s="266">
        <v>25961</v>
      </c>
      <c r="E42" s="334">
        <f t="shared" si="0"/>
        <v>0.48312765301798855</v>
      </c>
    </row>
    <row r="43" spans="2:5">
      <c r="B43" s="262">
        <v>1996</v>
      </c>
      <c r="C43" s="59">
        <v>13819.556</v>
      </c>
      <c r="D43" s="266">
        <v>26837</v>
      </c>
      <c r="E43" s="334">
        <f t="shared" si="0"/>
        <v>0.48505585572157839</v>
      </c>
    </row>
    <row r="44" spans="2:5">
      <c r="B44" s="262">
        <v>1997</v>
      </c>
      <c r="C44" s="59">
        <v>13733.815000000001</v>
      </c>
      <c r="D44" s="266">
        <v>28587</v>
      </c>
      <c r="E44" s="334">
        <f t="shared" si="0"/>
        <v>0.51957830482387102</v>
      </c>
    </row>
    <row r="45" spans="2:5">
      <c r="B45" s="262">
        <v>1998</v>
      </c>
      <c r="C45" s="59">
        <v>14144.832</v>
      </c>
      <c r="D45" s="266">
        <v>28461</v>
      </c>
      <c r="E45" s="334">
        <f t="shared" si="0"/>
        <v>0.50301001370296194</v>
      </c>
    </row>
    <row r="46" spans="2:5">
      <c r="B46" s="262">
        <v>1999</v>
      </c>
      <c r="C46" s="59">
        <v>13281.599</v>
      </c>
      <c r="D46" s="266">
        <v>31419</v>
      </c>
      <c r="E46" s="334">
        <f t="shared" si="0"/>
        <v>0.5772749291829784</v>
      </c>
    </row>
    <row r="47" spans="2:5">
      <c r="B47" s="210">
        <v>2000</v>
      </c>
      <c r="C47" s="59">
        <v>14579.982</v>
      </c>
      <c r="D47" s="268">
        <v>26452</v>
      </c>
      <c r="E47" s="334">
        <f t="shared" si="0"/>
        <v>0.44881362467866326</v>
      </c>
    </row>
    <row r="48" spans="2:5">
      <c r="B48" s="210">
        <v>2001</v>
      </c>
      <c r="C48" s="59">
        <v>11446.657999999999</v>
      </c>
      <c r="D48" s="268">
        <v>24232</v>
      </c>
      <c r="E48" s="334">
        <f t="shared" si="0"/>
        <v>0.52762223506107631</v>
      </c>
    </row>
    <row r="49" spans="2:5">
      <c r="B49" s="210">
        <v>2002</v>
      </c>
      <c r="C49" s="59">
        <v>12831.388000000001</v>
      </c>
      <c r="D49" s="268">
        <v>25474</v>
      </c>
      <c r="E49" s="334">
        <f t="shared" si="0"/>
        <v>0.49629473188348899</v>
      </c>
    </row>
    <row r="50" spans="2:5">
      <c r="B50" s="210">
        <v>2003</v>
      </c>
      <c r="C50" s="59">
        <v>12824.66</v>
      </c>
      <c r="D50" s="268">
        <v>26269</v>
      </c>
      <c r="E50" s="334">
        <f t="shared" si="0"/>
        <v>0.51179489131676126</v>
      </c>
    </row>
    <row r="51" spans="2:5">
      <c r="B51" s="210">
        <v>2004</v>
      </c>
      <c r="C51" s="59">
        <v>12956.781999999999</v>
      </c>
      <c r="D51" s="268">
        <v>26789</v>
      </c>
      <c r="E51" s="334">
        <f t="shared" si="0"/>
        <v>0.51633946769196315</v>
      </c>
    </row>
    <row r="52" spans="2:5">
      <c r="B52" s="210">
        <v>2005</v>
      </c>
      <c r="C52" s="59">
        <v>13478.838</v>
      </c>
      <c r="D52" s="268">
        <v>27939</v>
      </c>
      <c r="E52" s="334">
        <f t="shared" si="0"/>
        <v>0.51756190271663272</v>
      </c>
    </row>
    <row r="53" spans="2:5">
      <c r="B53" s="210">
        <v>2006</v>
      </c>
      <c r="C53" s="59">
        <v>13814.98</v>
      </c>
      <c r="D53" s="268">
        <v>28244</v>
      </c>
      <c r="E53" s="334">
        <f t="shared" si="0"/>
        <v>0.51087027333238921</v>
      </c>
    </row>
    <row r="54" spans="2:5">
      <c r="B54" s="210">
        <v>2007</v>
      </c>
      <c r="C54" s="59">
        <v>15531.985000000001</v>
      </c>
      <c r="D54" s="268">
        <v>28931</v>
      </c>
      <c r="E54" s="334">
        <f t="shared" si="0"/>
        <v>0.46313694652794579</v>
      </c>
    </row>
    <row r="55" spans="2:5">
      <c r="B55" s="210">
        <v>2008</v>
      </c>
      <c r="C55" s="59">
        <v>15326.4</v>
      </c>
      <c r="D55" s="268">
        <v>29637</v>
      </c>
      <c r="E55" s="334">
        <f t="shared" si="0"/>
        <v>0.48286263791881773</v>
      </c>
    </row>
    <row r="56" spans="2:5">
      <c r="B56" s="210">
        <v>2009</v>
      </c>
      <c r="C56" s="59">
        <v>14326.159</v>
      </c>
      <c r="D56" s="268">
        <v>26713</v>
      </c>
      <c r="E56" s="334">
        <f t="shared" si="0"/>
        <v>0.46370085726050986</v>
      </c>
    </row>
    <row r="57" spans="2:5">
      <c r="B57" s="210">
        <v>2010</v>
      </c>
      <c r="C57" s="59">
        <v>13423.138000000001</v>
      </c>
      <c r="D57" s="268">
        <v>29791</v>
      </c>
      <c r="E57" s="334">
        <f t="shared" si="0"/>
        <v>0.5494230472290289</v>
      </c>
    </row>
    <row r="58" spans="2:5">
      <c r="B58" s="210">
        <v>2011</v>
      </c>
      <c r="C58" s="59">
        <v>13788</v>
      </c>
      <c r="D58" s="389">
        <v>30129</v>
      </c>
      <c r="E58" s="334">
        <f t="shared" si="0"/>
        <v>0.54236781838096182</v>
      </c>
    </row>
    <row r="59" spans="2:5">
      <c r="B59" s="210">
        <v>2012</v>
      </c>
      <c r="C59" s="59">
        <v>13863</v>
      </c>
      <c r="D59" s="389">
        <v>27805</v>
      </c>
      <c r="E59" s="334">
        <f t="shared" si="0"/>
        <v>0.50142060780435171</v>
      </c>
    </row>
    <row r="60" spans="2:5">
      <c r="B60" s="210">
        <v>2013</v>
      </c>
      <c r="C60" s="43">
        <v>14045</v>
      </c>
      <c r="D60" s="389">
        <v>27687</v>
      </c>
      <c r="E60" s="334">
        <f t="shared" si="0"/>
        <v>0.49272221620254991</v>
      </c>
    </row>
    <row r="61" spans="2:5">
      <c r="B61" s="210">
        <v>2014</v>
      </c>
      <c r="C61" s="43">
        <v>14102</v>
      </c>
      <c r="D61" s="389">
        <v>30258</v>
      </c>
      <c r="E61" s="334">
        <f t="shared" si="0"/>
        <v>0.53394143697534535</v>
      </c>
    </row>
    <row r="62" spans="2:5">
      <c r="B62" s="210">
        <v>2015</v>
      </c>
      <c r="C62" s="43">
        <v>14207</v>
      </c>
      <c r="D62" s="389">
        <v>29302</v>
      </c>
      <c r="E62" s="334">
        <f t="shared" si="0"/>
        <v>0.51515254931403998</v>
      </c>
    </row>
    <row r="63" spans="2:5">
      <c r="B63" s="209">
        <v>2016</v>
      </c>
      <c r="C63" s="43">
        <v>14101</v>
      </c>
      <c r="D63" s="390">
        <v>27784</v>
      </c>
      <c r="E63" s="334">
        <f t="shared" si="0"/>
        <v>0.49247768499856032</v>
      </c>
    </row>
    <row r="64" spans="2:5">
      <c r="B64" s="209">
        <v>2017</v>
      </c>
      <c r="C64" s="43">
        <v>14710</v>
      </c>
      <c r="D64" s="390">
        <v>28221</v>
      </c>
      <c r="E64" s="334">
        <f t="shared" si="0"/>
        <v>0.47875695404131674</v>
      </c>
    </row>
    <row r="65" spans="1:5">
      <c r="B65" s="210">
        <v>2018</v>
      </c>
      <c r="C65" s="43">
        <v>14839</v>
      </c>
      <c r="D65" s="389">
        <v>28195</v>
      </c>
      <c r="E65" s="334">
        <f t="shared" si="0"/>
        <v>0.47370101081752086</v>
      </c>
    </row>
    <row r="66" spans="1:5">
      <c r="B66" s="210">
        <v>2019</v>
      </c>
      <c r="C66" s="43">
        <v>15321</v>
      </c>
      <c r="D66" s="389">
        <v>27797</v>
      </c>
      <c r="E66" s="334">
        <f t="shared" si="0"/>
        <v>0.44882541281433247</v>
      </c>
    </row>
    <row r="67" spans="1:5">
      <c r="B67" s="210">
        <v>2020</v>
      </c>
      <c r="C67" s="269">
        <v>14584</v>
      </c>
      <c r="D67" s="389">
        <v>23353</v>
      </c>
      <c r="E67" s="334">
        <f t="shared" si="0"/>
        <v>0.37549779471588235</v>
      </c>
    </row>
    <row r="68" spans="1:5">
      <c r="B68" s="222">
        <v>2021</v>
      </c>
      <c r="C68" s="398">
        <v>14962</v>
      </c>
      <c r="D68" s="269">
        <v>24948</v>
      </c>
      <c r="E68" s="334">
        <f t="shared" si="0"/>
        <v>0.40027256693923363</v>
      </c>
    </row>
    <row r="69" spans="1:5">
      <c r="B69" s="222">
        <v>2022</v>
      </c>
      <c r="C69" s="398">
        <f>'Table E6'!F68</f>
        <v>15567</v>
      </c>
      <c r="D69" s="269">
        <f>'Table E5'!P68</f>
        <v>27089</v>
      </c>
      <c r="E69" s="334">
        <f t="shared" si="0"/>
        <v>0.42533869836464988</v>
      </c>
    </row>
    <row r="70" spans="1:5">
      <c r="B70" s="222">
        <v>2023</v>
      </c>
      <c r="C70" s="269">
        <f>'Table E6'!F69</f>
        <v>15504.699000000001</v>
      </c>
      <c r="D70" s="269">
        <f>'Table E5'!P69</f>
        <v>26896</v>
      </c>
      <c r="E70" s="334">
        <f t="shared" si="0"/>
        <v>0.42353141731112431</v>
      </c>
    </row>
    <row r="71" spans="1:5">
      <c r="A71" s="249" t="s">
        <v>365</v>
      </c>
      <c r="B71" s="357" t="s">
        <v>382</v>
      </c>
      <c r="C71" s="337"/>
      <c r="D71" s="337"/>
    </row>
    <row r="72" spans="1:5">
      <c r="B72" s="337" t="s">
        <v>11</v>
      </c>
      <c r="C72" s="337"/>
      <c r="D72" s="358">
        <v>96205333000000</v>
      </c>
    </row>
    <row r="73" spans="1:5">
      <c r="A73" t="s">
        <v>385</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83"/>
  <sheetViews>
    <sheetView zoomScale="65" zoomScaleNormal="65" workbookViewId="0">
      <selection activeCell="Y16" sqref="Y16"/>
    </sheetView>
  </sheetViews>
  <sheetFormatPr defaultRowHeight="15"/>
  <cols>
    <col min="5" max="5" width="20.140625" customWidth="1"/>
  </cols>
  <sheetData>
    <row r="1" spans="1:1" ht="18">
      <c r="A1" s="355" t="s">
        <v>559</v>
      </c>
    </row>
    <row r="43" spans="3:25">
      <c r="C43" t="s">
        <v>383</v>
      </c>
    </row>
    <row r="45" spans="3:25">
      <c r="F45" s="249">
        <v>2005</v>
      </c>
      <c r="G45" s="249">
        <v>2006</v>
      </c>
      <c r="H45" s="249">
        <v>2007</v>
      </c>
      <c r="I45" s="249">
        <v>2008</v>
      </c>
      <c r="J45" s="249">
        <v>2009</v>
      </c>
      <c r="K45" s="249">
        <v>2010</v>
      </c>
      <c r="L45" s="249">
        <v>2011</v>
      </c>
      <c r="M45" s="249">
        <v>2012</v>
      </c>
      <c r="N45" s="249">
        <v>2013</v>
      </c>
      <c r="O45" s="249">
        <v>2014</v>
      </c>
      <c r="P45" s="249">
        <v>2015</v>
      </c>
      <c r="Q45" s="249">
        <v>2016</v>
      </c>
      <c r="R45" s="249">
        <v>2017</v>
      </c>
      <c r="S45" s="249">
        <v>2018</v>
      </c>
      <c r="T45" s="249">
        <v>2019</v>
      </c>
      <c r="U45" s="249">
        <v>2020</v>
      </c>
      <c r="V45" s="249">
        <v>2021</v>
      </c>
      <c r="W45" s="249">
        <v>2022</v>
      </c>
      <c r="X45" s="249">
        <v>2023</v>
      </c>
      <c r="Y45" s="249">
        <v>2024</v>
      </c>
    </row>
    <row r="46" spans="3:25">
      <c r="D46" s="395" t="s">
        <v>342</v>
      </c>
      <c r="E46" s="395"/>
      <c r="F46" s="330">
        <v>135.80000000000001</v>
      </c>
      <c r="G46" s="330">
        <v>144.80000000000001</v>
      </c>
      <c r="H46" s="330">
        <v>166.8</v>
      </c>
      <c r="I46" s="330">
        <v>166.8</v>
      </c>
      <c r="J46" s="330">
        <v>166.8</v>
      </c>
      <c r="K46" s="330">
        <v>386.8</v>
      </c>
      <c r="L46" s="330">
        <v>386.8</v>
      </c>
      <c r="M46" s="330">
        <v>625.4</v>
      </c>
      <c r="N46" s="330">
        <v>645.4</v>
      </c>
      <c r="O46" s="330">
        <v>665.1</v>
      </c>
      <c r="P46" s="330">
        <v>665.1</v>
      </c>
      <c r="Q46" s="330">
        <v>690.1</v>
      </c>
      <c r="R46" s="330">
        <v>690.1</v>
      </c>
      <c r="S46" s="330">
        <v>806.00000000000023</v>
      </c>
      <c r="T46" s="330">
        <v>807.60000000000014</v>
      </c>
      <c r="U46" s="330">
        <v>887.60000000000014</v>
      </c>
      <c r="V46" s="330">
        <v>882</v>
      </c>
      <c r="W46" s="330">
        <v>1473</v>
      </c>
      <c r="X46" s="330">
        <v>1773.6000000000001</v>
      </c>
      <c r="Y46" s="330">
        <v>1873.6000000000001</v>
      </c>
    </row>
    <row r="47" spans="3:25">
      <c r="D47" s="395" t="s">
        <v>343</v>
      </c>
      <c r="E47" s="395"/>
      <c r="F47" s="333">
        <v>5210.0679999999993</v>
      </c>
      <c r="G47" s="333">
        <v>5386.768</v>
      </c>
      <c r="H47" s="333">
        <v>5408.768</v>
      </c>
      <c r="I47" s="333">
        <v>5408.768</v>
      </c>
      <c r="J47" s="333">
        <v>5454.3679999999995</v>
      </c>
      <c r="K47" s="333">
        <v>5770.8679999999995</v>
      </c>
      <c r="L47" s="333">
        <v>5933.8679999999995</v>
      </c>
      <c r="M47" s="333">
        <v>6177.9229999999989</v>
      </c>
      <c r="N47" s="333">
        <v>6278.4229999999989</v>
      </c>
      <c r="O47" s="333">
        <v>6298.1229999999996</v>
      </c>
      <c r="P47" s="333">
        <v>6316.723</v>
      </c>
      <c r="Q47" s="333">
        <v>6176.723</v>
      </c>
      <c r="R47" s="333">
        <v>6185.723</v>
      </c>
      <c r="S47" s="333">
        <v>6300.4229999999998</v>
      </c>
      <c r="T47" s="333">
        <v>6300.4229999999998</v>
      </c>
      <c r="U47" s="333">
        <v>5774.7230000000009</v>
      </c>
      <c r="V47" s="333">
        <v>5714.4229999999998</v>
      </c>
      <c r="W47" s="333">
        <v>6384.4230000000007</v>
      </c>
      <c r="X47" s="333">
        <v>6766.0230000000001</v>
      </c>
      <c r="Y47" s="333">
        <v>7041.0230000000001</v>
      </c>
    </row>
    <row r="48" spans="3:25">
      <c r="D48" s="396" t="s">
        <v>368</v>
      </c>
      <c r="F48" s="394">
        <f>F46/F47</f>
        <v>2.60649189223634E-2</v>
      </c>
      <c r="G48" s="394">
        <f t="shared" ref="G48:Y48" si="0">G46/G47</f>
        <v>2.6880682442607516E-2</v>
      </c>
      <c r="H48" s="394">
        <f t="shared" si="0"/>
        <v>3.0838815789473686E-2</v>
      </c>
      <c r="I48" s="394">
        <f t="shared" si="0"/>
        <v>3.0838815789473686E-2</v>
      </c>
      <c r="J48" s="394">
        <f t="shared" si="0"/>
        <v>3.0580994901700808E-2</v>
      </c>
      <c r="K48" s="394">
        <f t="shared" si="0"/>
        <v>6.7026312159626608E-2</v>
      </c>
      <c r="L48" s="394">
        <f t="shared" si="0"/>
        <v>6.5185137249429884E-2</v>
      </c>
      <c r="M48" s="394">
        <f t="shared" si="0"/>
        <v>0.10123143328267446</v>
      </c>
      <c r="N48" s="394">
        <f t="shared" si="0"/>
        <v>0.10279651434763158</v>
      </c>
      <c r="O48" s="394">
        <f t="shared" si="0"/>
        <v>0.10560289152815848</v>
      </c>
      <c r="P48" s="394">
        <f t="shared" si="0"/>
        <v>0.10529193697428239</v>
      </c>
      <c r="Q48" s="394">
        <f t="shared" si="0"/>
        <v>0.11172591032494092</v>
      </c>
      <c r="R48" s="394">
        <f t="shared" si="0"/>
        <v>0.11156335322483726</v>
      </c>
      <c r="S48" s="394">
        <f t="shared" si="0"/>
        <v>0.12792791849055218</v>
      </c>
      <c r="T48" s="394">
        <f t="shared" si="0"/>
        <v>0.12818186969351109</v>
      </c>
      <c r="U48" s="394">
        <f t="shared" si="0"/>
        <v>0.15370434218230034</v>
      </c>
      <c r="V48" s="394">
        <f t="shared" si="0"/>
        <v>0.15434629183033879</v>
      </c>
      <c r="W48" s="394">
        <f t="shared" si="0"/>
        <v>0.23071779548441571</v>
      </c>
      <c r="X48" s="394">
        <f t="shared" si="0"/>
        <v>0.26213330933105017</v>
      </c>
      <c r="Y48" s="394">
        <f t="shared" si="0"/>
        <v>0.2660976963148679</v>
      </c>
    </row>
    <row r="50" spans="6:6">
      <c r="F50" t="s">
        <v>591</v>
      </c>
    </row>
    <row r="83" spans="3:3">
      <c r="C83" t="s">
        <v>384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68"/>
  <sheetViews>
    <sheetView zoomScale="77" zoomScaleNormal="77" workbookViewId="0">
      <selection activeCell="U9" sqref="U9"/>
    </sheetView>
  </sheetViews>
  <sheetFormatPr defaultRowHeight="15"/>
  <cols>
    <col min="1" max="1" width="12.28515625" customWidth="1"/>
    <col min="2" max="2" width="41" customWidth="1"/>
    <col min="3" max="3" width="12.28515625" customWidth="1"/>
    <col min="4" max="4" width="12.7109375" customWidth="1"/>
    <col min="5" max="5" width="12.140625" customWidth="1"/>
  </cols>
  <sheetData>
    <row r="1" spans="1:42" ht="22.5" customHeight="1">
      <c r="A1" s="490" t="s">
        <v>580</v>
      </c>
      <c r="B1" s="490"/>
      <c r="C1" s="490"/>
      <c r="D1" s="490"/>
      <c r="E1" s="490"/>
      <c r="F1" s="490"/>
      <c r="G1" s="490"/>
      <c r="H1" s="490"/>
      <c r="I1" s="490"/>
      <c r="J1" s="490"/>
      <c r="K1" s="490"/>
      <c r="L1" s="490"/>
      <c r="M1" s="490"/>
      <c r="N1" s="490"/>
      <c r="O1" s="490"/>
      <c r="P1" s="490"/>
      <c r="Q1" s="490"/>
      <c r="R1" s="490"/>
      <c r="S1" s="490"/>
      <c r="T1" s="490"/>
      <c r="U1" s="490"/>
      <c r="V1" s="490" t="s">
        <v>579</v>
      </c>
      <c r="W1" s="490"/>
      <c r="X1" s="490"/>
      <c r="Y1" s="490"/>
      <c r="Z1" s="490"/>
      <c r="AA1" s="490"/>
      <c r="AB1" s="490"/>
      <c r="AC1" s="490"/>
      <c r="AD1" s="490"/>
      <c r="AE1" s="490"/>
      <c r="AF1" s="490"/>
      <c r="AG1" s="490"/>
      <c r="AH1" s="490"/>
      <c r="AI1" s="490"/>
      <c r="AJ1" s="490"/>
      <c r="AK1" s="490"/>
      <c r="AL1" s="490"/>
      <c r="AM1" s="490"/>
      <c r="AN1" s="490"/>
      <c r="AO1" s="490"/>
      <c r="AP1" s="490"/>
    </row>
    <row r="42" spans="2:57" ht="14.45" customHeight="1">
      <c r="B42" s="483" t="s">
        <v>428</v>
      </c>
      <c r="C42" s="483"/>
      <c r="D42" s="483"/>
      <c r="E42" s="483"/>
      <c r="F42" s="483"/>
      <c r="G42" s="483"/>
      <c r="H42" s="483"/>
      <c r="I42" s="483"/>
      <c r="J42" s="483"/>
      <c r="K42" s="483"/>
      <c r="L42" s="483"/>
      <c r="M42" s="483"/>
      <c r="N42" s="483"/>
      <c r="O42" s="483"/>
      <c r="P42" s="483"/>
      <c r="Q42" s="483"/>
    </row>
    <row r="43" spans="2:57">
      <c r="B43" s="483"/>
      <c r="C43" s="483"/>
      <c r="D43" s="483"/>
      <c r="E43" s="483"/>
      <c r="F43" s="483"/>
      <c r="G43" s="483"/>
      <c r="H43" s="483"/>
      <c r="I43" s="483"/>
      <c r="J43" s="483"/>
      <c r="K43" s="483"/>
      <c r="L43" s="483"/>
      <c r="M43" s="483"/>
      <c r="N43" s="483"/>
      <c r="O43" s="483"/>
      <c r="P43" s="483"/>
      <c r="Q43" s="483"/>
    </row>
    <row r="44" spans="2:57">
      <c r="B44" s="483"/>
      <c r="C44" s="483"/>
      <c r="D44" s="483"/>
      <c r="E44" s="483"/>
      <c r="F44" s="483"/>
      <c r="G44" s="483"/>
      <c r="H44" s="483"/>
      <c r="I44" s="483"/>
      <c r="J44" s="483"/>
      <c r="K44" s="483"/>
      <c r="L44" s="483"/>
      <c r="M44" s="483"/>
      <c r="N44" s="483"/>
      <c r="O44" s="483"/>
      <c r="P44" s="483"/>
      <c r="Q44" s="483"/>
    </row>
    <row r="45" spans="2:57" ht="30" customHeight="1">
      <c r="B45" s="483"/>
      <c r="C45" s="483"/>
      <c r="D45" s="483"/>
      <c r="E45" s="483"/>
      <c r="F45" s="483"/>
      <c r="G45" s="483"/>
      <c r="H45" s="483"/>
      <c r="I45" s="483"/>
      <c r="J45" s="483"/>
      <c r="K45" s="483"/>
      <c r="L45" s="483"/>
      <c r="M45" s="483"/>
      <c r="N45" s="483"/>
      <c r="O45" s="483"/>
      <c r="P45" s="483"/>
      <c r="Q45" s="483"/>
    </row>
    <row r="47" spans="2:57">
      <c r="C47">
        <v>1970</v>
      </c>
      <c r="D47">
        <v>1971</v>
      </c>
      <c r="E47">
        <v>1972</v>
      </c>
      <c r="F47">
        <v>1973</v>
      </c>
      <c r="G47">
        <v>1974</v>
      </c>
      <c r="H47">
        <v>1975</v>
      </c>
      <c r="I47">
        <v>1976</v>
      </c>
      <c r="J47">
        <v>1977</v>
      </c>
      <c r="K47">
        <v>1978</v>
      </c>
      <c r="L47">
        <v>1979</v>
      </c>
      <c r="M47">
        <v>1980</v>
      </c>
      <c r="N47">
        <v>1981</v>
      </c>
      <c r="O47">
        <v>1982</v>
      </c>
      <c r="P47">
        <v>1983</v>
      </c>
      <c r="Q47">
        <v>1984</v>
      </c>
      <c r="R47">
        <v>1985</v>
      </c>
      <c r="S47">
        <v>1986</v>
      </c>
      <c r="T47">
        <v>1987</v>
      </c>
      <c r="U47">
        <v>1988</v>
      </c>
      <c r="V47">
        <v>1989</v>
      </c>
      <c r="W47">
        <v>1990</v>
      </c>
      <c r="X47">
        <v>1991</v>
      </c>
      <c r="Y47">
        <v>1992</v>
      </c>
      <c r="Z47">
        <v>1993</v>
      </c>
      <c r="AA47">
        <v>1994</v>
      </c>
      <c r="AB47">
        <v>1995</v>
      </c>
      <c r="AC47">
        <v>1996</v>
      </c>
      <c r="AD47">
        <v>1997</v>
      </c>
      <c r="AE47">
        <v>1998</v>
      </c>
      <c r="AF47">
        <v>1999</v>
      </c>
      <c r="AG47">
        <v>2000</v>
      </c>
      <c r="AH47">
        <v>2001</v>
      </c>
      <c r="AI47">
        <v>2002</v>
      </c>
      <c r="AJ47">
        <v>2003</v>
      </c>
      <c r="AK47">
        <v>2004</v>
      </c>
      <c r="AL47">
        <v>2005</v>
      </c>
      <c r="AM47">
        <v>2006</v>
      </c>
      <c r="AN47">
        <v>2007</v>
      </c>
      <c r="AO47">
        <v>2008</v>
      </c>
      <c r="AP47">
        <v>2009</v>
      </c>
      <c r="AQ47">
        <v>2010</v>
      </c>
      <c r="AR47">
        <v>2011</v>
      </c>
      <c r="AS47">
        <v>2012</v>
      </c>
      <c r="AT47">
        <v>2013</v>
      </c>
      <c r="AU47">
        <v>2014</v>
      </c>
      <c r="AV47">
        <v>2015</v>
      </c>
      <c r="AW47">
        <v>2016</v>
      </c>
      <c r="AX47">
        <v>2017</v>
      </c>
      <c r="AY47">
        <v>2018</v>
      </c>
      <c r="AZ47">
        <v>2019</v>
      </c>
      <c r="BA47">
        <v>2020</v>
      </c>
      <c r="BB47">
        <v>2021</v>
      </c>
      <c r="BC47">
        <v>2022</v>
      </c>
      <c r="BD47">
        <v>2023</v>
      </c>
      <c r="BE47">
        <v>2024</v>
      </c>
    </row>
    <row r="48" spans="2:57">
      <c r="B48" s="249" t="s">
        <v>588</v>
      </c>
    </row>
    <row r="49" spans="2:57">
      <c r="B49" t="s">
        <v>581</v>
      </c>
      <c r="C49" s="334">
        <v>0.88306421044651651</v>
      </c>
      <c r="D49" s="334">
        <v>0.88306421044651651</v>
      </c>
      <c r="E49" s="334">
        <v>0.87533345857599087</v>
      </c>
      <c r="F49" s="334">
        <v>0.87533345857599087</v>
      </c>
      <c r="G49" s="334">
        <v>0.87533345857599087</v>
      </c>
      <c r="H49" s="334">
        <v>0.78480714165403398</v>
      </c>
      <c r="I49" s="334">
        <v>0.78480714165403398</v>
      </c>
      <c r="J49" s="334">
        <v>0.71125019081056318</v>
      </c>
      <c r="K49" s="334">
        <v>0.71125019081056318</v>
      </c>
      <c r="L49" s="334">
        <v>0.70252095772269463</v>
      </c>
      <c r="M49" s="334">
        <v>0.70252095772269463</v>
      </c>
      <c r="N49" s="334">
        <v>0.70252095772269463</v>
      </c>
      <c r="O49" s="334">
        <v>0.70252095772269463</v>
      </c>
      <c r="P49" s="334">
        <v>0.70252095772269463</v>
      </c>
      <c r="Q49" s="334">
        <v>0.57436894927187876</v>
      </c>
      <c r="R49" s="334">
        <v>0.58399410752267922</v>
      </c>
      <c r="S49" s="334">
        <v>0.49338876036346468</v>
      </c>
      <c r="T49" s="334">
        <v>0.49340891879684667</v>
      </c>
      <c r="U49" s="334">
        <v>0.49348932211582003</v>
      </c>
      <c r="V49" s="334">
        <v>0.49469231649424766</v>
      </c>
      <c r="W49" s="334">
        <v>0.50567079160660144</v>
      </c>
      <c r="X49" s="334">
        <v>0.50696071072756355</v>
      </c>
      <c r="Y49" s="334">
        <v>0.50696071072756355</v>
      </c>
      <c r="Z49" s="334">
        <v>0.50696071072756355</v>
      </c>
      <c r="AA49" s="334">
        <v>0.5122362876013129</v>
      </c>
      <c r="AB49" s="334">
        <v>0.50560139077258104</v>
      </c>
      <c r="AC49" s="334">
        <v>0.50564572113556816</v>
      </c>
      <c r="AD49" s="334">
        <v>0.50564572113556816</v>
      </c>
      <c r="AE49" s="334">
        <v>0.50564572113556816</v>
      </c>
      <c r="AF49" s="334">
        <v>0.50564572113556816</v>
      </c>
      <c r="AG49" s="334">
        <v>0.50564572113556816</v>
      </c>
      <c r="AH49" s="334">
        <v>0.50603941968690735</v>
      </c>
      <c r="AI49" s="334">
        <v>0.50603941968690735</v>
      </c>
      <c r="AJ49" s="334">
        <v>0.50174389636273042</v>
      </c>
      <c r="AK49" s="334">
        <v>0.50248050133565458</v>
      </c>
      <c r="AL49" s="334">
        <v>0.48927729925981772</v>
      </c>
      <c r="AM49" s="334">
        <v>0.47322773135950902</v>
      </c>
      <c r="AN49" s="334">
        <v>0.47130289189700864</v>
      </c>
      <c r="AO49" s="334">
        <v>0.47130289189700864</v>
      </c>
      <c r="AP49" s="334">
        <v>0.47542960064300754</v>
      </c>
      <c r="AQ49" s="334">
        <v>0.44935493239491875</v>
      </c>
      <c r="AR49" s="334">
        <v>0.43920222020442651</v>
      </c>
      <c r="AS49" s="334">
        <v>0.42273479290693655</v>
      </c>
      <c r="AT49" s="334">
        <v>0.42839149257703729</v>
      </c>
      <c r="AU49" s="334">
        <v>0.4270515199528494</v>
      </c>
      <c r="AV49" s="334">
        <v>0.42579403909273839</v>
      </c>
      <c r="AW49" s="334">
        <v>0.43544497624387551</v>
      </c>
      <c r="AX49" s="334">
        <v>0.43481141978067878</v>
      </c>
      <c r="AY49" s="334">
        <v>0.42689562272247428</v>
      </c>
      <c r="AZ49" s="334">
        <v>0.42689562272247428</v>
      </c>
      <c r="BA49" s="334">
        <v>0.46719522304359878</v>
      </c>
      <c r="BB49" s="334">
        <v>0.47300016117112786</v>
      </c>
      <c r="BC49" s="334">
        <v>0.42336214251467985</v>
      </c>
      <c r="BD49" s="334">
        <v>0.39948474901725867</v>
      </c>
      <c r="BE49" s="334">
        <v>0.38388214326242076</v>
      </c>
    </row>
    <row r="50" spans="2:57">
      <c r="B50" t="s">
        <v>582</v>
      </c>
      <c r="C50" s="334">
        <v>8.4527329239633089E-2</v>
      </c>
      <c r="D50" s="334">
        <v>8.4527329239633089E-2</v>
      </c>
      <c r="E50" s="334">
        <v>8.3787337967311665E-2</v>
      </c>
      <c r="F50" s="334">
        <v>8.3787337967311665E-2</v>
      </c>
      <c r="G50" s="334">
        <v>8.3787337967311665E-2</v>
      </c>
      <c r="H50" s="334">
        <v>0.17854135085059794</v>
      </c>
      <c r="I50" s="334">
        <v>0.17854135085059794</v>
      </c>
      <c r="J50" s="334">
        <v>0.25553350633491068</v>
      </c>
      <c r="K50" s="334">
        <v>0.25553350633491068</v>
      </c>
      <c r="L50" s="334">
        <v>0.25239732223629457</v>
      </c>
      <c r="M50" s="334">
        <v>0.25239732223629457</v>
      </c>
      <c r="N50" s="334">
        <v>0.25239732223629457</v>
      </c>
      <c r="O50" s="334">
        <v>0.25239732223629457</v>
      </c>
      <c r="P50" s="334">
        <v>0.25239732223629457</v>
      </c>
      <c r="Q50" s="334">
        <v>0.38877507500622482</v>
      </c>
      <c r="R50" s="334">
        <v>0.39508659586674788</v>
      </c>
      <c r="S50" s="334">
        <v>0.49041915280461762</v>
      </c>
      <c r="T50" s="334">
        <v>0.4903996386662654</v>
      </c>
      <c r="U50" s="334">
        <v>0.49032180516300183</v>
      </c>
      <c r="V50" s="334">
        <v>0.489157260364666</v>
      </c>
      <c r="W50" s="334">
        <v>0.47875738033406356</v>
      </c>
      <c r="X50" s="334">
        <v>0.47997864584800104</v>
      </c>
      <c r="Y50" s="334">
        <v>0.47997864584800104</v>
      </c>
      <c r="Z50" s="334">
        <v>0.47997864584800104</v>
      </c>
      <c r="AA50" s="334">
        <v>0.47484281935501327</v>
      </c>
      <c r="AB50" s="334">
        <v>0.4686922728346995</v>
      </c>
      <c r="AC50" s="334">
        <v>0.46865024743617234</v>
      </c>
      <c r="AD50" s="334">
        <v>0.46865024743617234</v>
      </c>
      <c r="AE50" s="334">
        <v>0.46865024743617234</v>
      </c>
      <c r="AF50" s="334">
        <v>0.46865024743617234</v>
      </c>
      <c r="AG50" s="334">
        <v>0.46865024743617234</v>
      </c>
      <c r="AH50" s="334">
        <v>0.4682770193052776</v>
      </c>
      <c r="AI50" s="334">
        <v>0.4682770193052776</v>
      </c>
      <c r="AJ50" s="334">
        <v>0.46430204269209907</v>
      </c>
      <c r="AK50" s="334">
        <v>0.46361563425457231</v>
      </c>
      <c r="AL50" s="334">
        <v>0.45143364731515984</v>
      </c>
      <c r="AM50" s="334">
        <v>0.45810400596424422</v>
      </c>
      <c r="AN50" s="334">
        <v>0.45624068179666788</v>
      </c>
      <c r="AO50" s="334">
        <v>0.45624068179666788</v>
      </c>
      <c r="AP50" s="334">
        <v>0.45242638560507836</v>
      </c>
      <c r="AQ50" s="334">
        <v>0.42761331570917926</v>
      </c>
      <c r="AR50" s="334">
        <v>0.41586701962362493</v>
      </c>
      <c r="AS50" s="334">
        <v>0.39943845204933764</v>
      </c>
      <c r="AT50" s="334">
        <v>0.39304455911938402</v>
      </c>
      <c r="AU50" s="334">
        <v>0.3918151487355836</v>
      </c>
      <c r="AV50" s="334">
        <v>0.39066142365273893</v>
      </c>
      <c r="AW50" s="334">
        <v>0.37150767486254438</v>
      </c>
      <c r="AX50" s="334">
        <v>0.37096714482688603</v>
      </c>
      <c r="AY50" s="334">
        <v>0.36421364089363523</v>
      </c>
      <c r="AZ50" s="334">
        <v>0.36421364089363523</v>
      </c>
      <c r="BA50" s="334">
        <v>0.29104426307547565</v>
      </c>
      <c r="BB50" s="334">
        <v>0.28536564409040077</v>
      </c>
      <c r="BC50" s="334">
        <v>0.25541853978033724</v>
      </c>
      <c r="BD50" s="334">
        <v>0.24101307370666639</v>
      </c>
      <c r="BE50" s="334">
        <v>0.23159986837140001</v>
      </c>
    </row>
    <row r="51" spans="2:57">
      <c r="B51" t="s">
        <v>583</v>
      </c>
      <c r="C51" s="334">
        <v>2.7670381320597379E-2</v>
      </c>
      <c r="D51" s="334">
        <v>2.7670381320597379E-2</v>
      </c>
      <c r="E51" s="334">
        <v>3.6182603794852525E-2</v>
      </c>
      <c r="F51" s="334">
        <v>3.6182603794852525E-2</v>
      </c>
      <c r="G51" s="334">
        <v>3.6182603794852525E-2</v>
      </c>
      <c r="H51" s="334">
        <v>3.2440626579080339E-2</v>
      </c>
      <c r="I51" s="334">
        <v>3.2440626579080339E-2</v>
      </c>
      <c r="J51" s="334">
        <v>2.9400091589070369E-2</v>
      </c>
      <c r="K51" s="334">
        <v>2.9400091589070369E-2</v>
      </c>
      <c r="L51" s="334">
        <v>4.1312345455642004E-2</v>
      </c>
      <c r="M51" s="334">
        <v>4.1312345455642004E-2</v>
      </c>
      <c r="N51" s="334">
        <v>4.1312345455642004E-2</v>
      </c>
      <c r="O51" s="334">
        <v>4.1312345455642004E-2</v>
      </c>
      <c r="P51" s="334">
        <v>4.1312345455642004E-2</v>
      </c>
      <c r="Q51" s="334">
        <v>3.37743724006676E-2</v>
      </c>
      <c r="R51" s="334">
        <v>1.778766538144521E-2</v>
      </c>
      <c r="S51" s="334">
        <v>1.3546321009708902E-2</v>
      </c>
      <c r="T51" s="334">
        <v>1.3545781991644792E-2</v>
      </c>
      <c r="U51" s="334">
        <v>1.3543632080462718E-2</v>
      </c>
      <c r="V51" s="334">
        <v>1.3511465111497032E-2</v>
      </c>
      <c r="W51" s="334">
        <v>1.3027411709770438E-2</v>
      </c>
      <c r="X51" s="334">
        <v>1.3060643424435404E-2</v>
      </c>
      <c r="Y51" s="334">
        <v>1.3060643424435404E-2</v>
      </c>
      <c r="Z51" s="334">
        <v>1.3060643424435404E-2</v>
      </c>
      <c r="AA51" s="334">
        <v>1.2920893043673829E-2</v>
      </c>
      <c r="AB51" s="334">
        <v>1.2753531233597265E-2</v>
      </c>
      <c r="AC51" s="334">
        <v>1.2752387685338023E-2</v>
      </c>
      <c r="AD51" s="334">
        <v>1.2752387685338023E-2</v>
      </c>
      <c r="AE51" s="334">
        <v>1.2752387685338023E-2</v>
      </c>
      <c r="AF51" s="334">
        <v>1.2752387685338023E-2</v>
      </c>
      <c r="AG51" s="334">
        <v>1.2752387685338023E-2</v>
      </c>
      <c r="AH51" s="334">
        <v>1.2742231817830683E-2</v>
      </c>
      <c r="AI51" s="334">
        <v>1.2742231817830683E-2</v>
      </c>
      <c r="AJ51" s="334">
        <v>2.1122584425193283E-2</v>
      </c>
      <c r="AK51" s="334">
        <v>2.1091357510730969E-2</v>
      </c>
      <c r="AL51" s="334">
        <v>2.0537159975647153E-2</v>
      </c>
      <c r="AM51" s="334">
        <v>2.951677146667538E-2</v>
      </c>
      <c r="AN51" s="334">
        <v>2.939671289284362E-2</v>
      </c>
      <c r="AO51" s="334">
        <v>2.939671289284362E-2</v>
      </c>
      <c r="AP51" s="334">
        <v>2.9150948377520552E-2</v>
      </c>
      <c r="AQ51" s="334">
        <v>4.3321039399965483E-2</v>
      </c>
      <c r="AR51" s="334">
        <v>6.7409655893929568E-2</v>
      </c>
      <c r="AS51" s="334">
        <v>6.4746679426078965E-2</v>
      </c>
      <c r="AT51" s="334">
        <v>6.3710266097075668E-2</v>
      </c>
      <c r="AU51" s="334">
        <v>6.3510985733368497E-2</v>
      </c>
      <c r="AV51" s="334">
        <v>6.6268538291136089E-2</v>
      </c>
      <c r="AW51" s="334">
        <v>6.7770563776293674E-2</v>
      </c>
      <c r="AX51" s="334">
        <v>6.7671960092619735E-2</v>
      </c>
      <c r="AY51" s="334">
        <v>6.6439983474125469E-2</v>
      </c>
      <c r="AZ51" s="334">
        <v>6.6439983474125469E-2</v>
      </c>
      <c r="BA51" s="334">
        <v>7.2488325414050161E-2</v>
      </c>
      <c r="BB51" s="334">
        <v>7.3253240090906821E-2</v>
      </c>
      <c r="BC51" s="334">
        <v>6.5565831086066825E-2</v>
      </c>
      <c r="BD51" s="334">
        <v>6.1867954040357241E-2</v>
      </c>
      <c r="BE51" s="334">
        <v>8.4305931112567026E-2</v>
      </c>
    </row>
    <row r="52" spans="2:57">
      <c r="B52" t="s">
        <v>584</v>
      </c>
      <c r="C52" s="334">
        <v>0</v>
      </c>
      <c r="D52" s="334">
        <v>0</v>
      </c>
      <c r="E52" s="334">
        <v>0</v>
      </c>
      <c r="F52" s="334">
        <v>0</v>
      </c>
      <c r="G52" s="334">
        <v>0</v>
      </c>
      <c r="H52" s="334">
        <v>0</v>
      </c>
      <c r="I52" s="334">
        <v>0</v>
      </c>
      <c r="J52" s="334">
        <v>0</v>
      </c>
      <c r="K52" s="334">
        <v>0</v>
      </c>
      <c r="L52" s="334">
        <v>0</v>
      </c>
      <c r="M52" s="334">
        <v>0</v>
      </c>
      <c r="N52" s="334">
        <v>0</v>
      </c>
      <c r="O52" s="334">
        <v>0</v>
      </c>
      <c r="P52" s="334">
        <v>0</v>
      </c>
      <c r="Q52" s="334">
        <v>0</v>
      </c>
      <c r="R52" s="334">
        <v>0</v>
      </c>
      <c r="S52" s="334">
        <v>0</v>
      </c>
      <c r="T52" s="334">
        <v>0</v>
      </c>
      <c r="U52" s="334">
        <v>0</v>
      </c>
      <c r="V52" s="334">
        <v>0</v>
      </c>
      <c r="W52" s="334">
        <v>0</v>
      </c>
      <c r="X52" s="334">
        <v>0</v>
      </c>
      <c r="Y52" s="334">
        <v>0</v>
      </c>
      <c r="Z52" s="334">
        <v>0</v>
      </c>
      <c r="AA52" s="334">
        <v>0</v>
      </c>
      <c r="AB52" s="334">
        <v>1.2952805159122222E-2</v>
      </c>
      <c r="AC52" s="334">
        <v>1.295164374292143E-2</v>
      </c>
      <c r="AD52" s="334">
        <v>1.295164374292143E-2</v>
      </c>
      <c r="AE52" s="334">
        <v>1.295164374292143E-2</v>
      </c>
      <c r="AF52" s="334">
        <v>1.295164374292143E-2</v>
      </c>
      <c r="AG52" s="334">
        <v>1.295164374292143E-2</v>
      </c>
      <c r="AH52" s="334">
        <v>1.2941329189984288E-2</v>
      </c>
      <c r="AI52" s="334">
        <v>1.2941329189984288E-2</v>
      </c>
      <c r="AJ52" s="334">
        <v>1.2831476519977228E-2</v>
      </c>
      <c r="AK52" s="334">
        <v>1.2812506899042177E-2</v>
      </c>
      <c r="AL52" s="334">
        <v>1.2475844845019299E-2</v>
      </c>
      <c r="AM52" s="334">
        <v>1.206660468763459E-2</v>
      </c>
      <c r="AN52" s="334">
        <v>1.201752413858387E-2</v>
      </c>
      <c r="AO52" s="334">
        <v>1.201752413858387E-2</v>
      </c>
      <c r="AP52" s="334">
        <v>1.1917054368168778E-2</v>
      </c>
      <c r="AQ52" s="334">
        <v>1.1263470243991026E-2</v>
      </c>
      <c r="AR52" s="334">
        <v>1.0954069082763555E-2</v>
      </c>
      <c r="AS52" s="334">
        <v>1.0521335406737832E-2</v>
      </c>
      <c r="AT52" s="334">
        <v>1.0352918240774795E-2</v>
      </c>
      <c r="AU52" s="334">
        <v>1.0320535181672381E-2</v>
      </c>
      <c r="AV52" s="334">
        <v>1.0290145697381379E-2</v>
      </c>
      <c r="AW52" s="334">
        <v>1.0523379468368583E-2</v>
      </c>
      <c r="AX52" s="334">
        <v>1.0508068337363312E-2</v>
      </c>
      <c r="AY52" s="334">
        <v>1.0316767620205818E-2</v>
      </c>
      <c r="AZ52" s="334">
        <v>1.0316767620205818E-2</v>
      </c>
      <c r="BA52" s="334">
        <v>1.1255951151250025E-2</v>
      </c>
      <c r="BB52" s="334">
        <v>9.0997813777524E-3</v>
      </c>
      <c r="BC52" s="334">
        <v>8.1448237373996056E-3</v>
      </c>
      <c r="BD52" s="334">
        <v>7.685460129236924E-3</v>
      </c>
      <c r="BE52" s="334">
        <v>7.3852904613434722E-3</v>
      </c>
    </row>
    <row r="53" spans="2:57">
      <c r="B53" t="s">
        <v>585</v>
      </c>
      <c r="C53" s="334">
        <v>0</v>
      </c>
      <c r="D53" s="334">
        <v>0</v>
      </c>
      <c r="E53" s="334">
        <v>0</v>
      </c>
      <c r="F53" s="334">
        <v>0</v>
      </c>
      <c r="G53" s="334">
        <v>0</v>
      </c>
      <c r="H53" s="334">
        <v>0</v>
      </c>
      <c r="I53" s="334">
        <v>0</v>
      </c>
      <c r="J53" s="334">
        <v>0</v>
      </c>
      <c r="K53" s="334">
        <v>0</v>
      </c>
      <c r="L53" s="334">
        <v>0</v>
      </c>
      <c r="M53" s="334">
        <v>0</v>
      </c>
      <c r="N53" s="334">
        <v>0</v>
      </c>
      <c r="O53" s="334">
        <v>0</v>
      </c>
      <c r="P53" s="334">
        <v>0</v>
      </c>
      <c r="Q53" s="334">
        <v>0</v>
      </c>
      <c r="R53" s="334">
        <v>0</v>
      </c>
      <c r="S53" s="334">
        <v>0</v>
      </c>
      <c r="T53" s="334">
        <v>0</v>
      </c>
      <c r="U53" s="334">
        <v>0</v>
      </c>
      <c r="V53" s="334">
        <v>0</v>
      </c>
      <c r="W53" s="334">
        <v>0</v>
      </c>
      <c r="X53" s="334">
        <v>0</v>
      </c>
      <c r="Y53" s="334">
        <v>0</v>
      </c>
      <c r="Z53" s="334">
        <v>0</v>
      </c>
      <c r="AA53" s="334">
        <v>0</v>
      </c>
      <c r="AB53" s="334">
        <v>0</v>
      </c>
      <c r="AC53" s="334">
        <v>0</v>
      </c>
      <c r="AD53" s="334">
        <v>0</v>
      </c>
      <c r="AE53" s="334">
        <v>0</v>
      </c>
      <c r="AF53" s="334">
        <v>0</v>
      </c>
      <c r="AG53" s="334">
        <v>0</v>
      </c>
      <c r="AH53" s="334">
        <v>0</v>
      </c>
      <c r="AI53" s="334">
        <v>0</v>
      </c>
      <c r="AJ53" s="334">
        <v>0</v>
      </c>
      <c r="AK53" s="334">
        <v>0</v>
      </c>
      <c r="AL53" s="334">
        <v>2.6276048604356034E-2</v>
      </c>
      <c r="AM53" s="334">
        <v>2.7084886521936719E-2</v>
      </c>
      <c r="AN53" s="334">
        <v>3.1042189274895875E-2</v>
      </c>
      <c r="AO53" s="334">
        <v>3.1042189274895875E-2</v>
      </c>
      <c r="AP53" s="334">
        <v>3.0782668129469816E-2</v>
      </c>
      <c r="AQ53" s="334">
        <v>6.7216924732986447E-2</v>
      </c>
      <c r="AR53" s="334">
        <v>6.5370513803138186E-2</v>
      </c>
      <c r="AS53" s="334">
        <v>0.10140948665109618</v>
      </c>
      <c r="AT53" s="334">
        <v>0.10297171757939853</v>
      </c>
      <c r="AU53" s="334">
        <v>0.10577754673892524</v>
      </c>
      <c r="AV53" s="334">
        <v>0.10546607790146885</v>
      </c>
      <c r="AW53" s="334">
        <v>0.11190399828517485</v>
      </c>
      <c r="AX53" s="334">
        <v>0.11174118207362342</v>
      </c>
      <c r="AY53" s="334">
        <v>0.12791204654036725</v>
      </c>
      <c r="AZ53" s="334">
        <v>0.12791204654036725</v>
      </c>
      <c r="BA53" s="334">
        <v>0.15340995576757538</v>
      </c>
      <c r="BB53" s="334">
        <v>0.1546262851035004</v>
      </c>
      <c r="BC53" s="334">
        <v>0.2308117742198473</v>
      </c>
      <c r="BD53" s="334">
        <v>0.26213330933105017</v>
      </c>
      <c r="BE53" s="334">
        <v>0.2660976963148679</v>
      </c>
    </row>
    <row r="54" spans="2:57">
      <c r="B54" t="s">
        <v>586</v>
      </c>
      <c r="C54" s="334">
        <v>0</v>
      </c>
      <c r="D54" s="334">
        <v>0</v>
      </c>
      <c r="E54" s="334">
        <v>0</v>
      </c>
      <c r="F54" s="334">
        <v>0</v>
      </c>
      <c r="G54" s="334">
        <v>0</v>
      </c>
      <c r="H54" s="334">
        <v>0</v>
      </c>
      <c r="I54" s="334">
        <v>0</v>
      </c>
      <c r="J54" s="334">
        <v>0</v>
      </c>
      <c r="K54" s="334">
        <v>0</v>
      </c>
      <c r="L54" s="334">
        <v>0</v>
      </c>
      <c r="M54" s="334">
        <v>0</v>
      </c>
      <c r="N54" s="334">
        <v>0</v>
      </c>
      <c r="O54" s="334">
        <v>0</v>
      </c>
      <c r="P54" s="334">
        <v>0</v>
      </c>
      <c r="Q54" s="334">
        <v>0</v>
      </c>
      <c r="R54" s="334">
        <v>0</v>
      </c>
      <c r="S54" s="334">
        <v>0</v>
      </c>
      <c r="T54" s="334">
        <v>0</v>
      </c>
      <c r="U54" s="334">
        <v>0</v>
      </c>
      <c r="V54" s="334">
        <v>0</v>
      </c>
      <c r="W54" s="334">
        <v>0</v>
      </c>
      <c r="X54" s="334">
        <v>0</v>
      </c>
      <c r="Y54" s="334">
        <v>0</v>
      </c>
      <c r="Z54" s="334">
        <v>0</v>
      </c>
      <c r="AA54" s="334">
        <v>0</v>
      </c>
      <c r="AB54" s="334">
        <v>0</v>
      </c>
      <c r="AC54" s="334">
        <v>0</v>
      </c>
      <c r="AD54" s="334">
        <v>0</v>
      </c>
      <c r="AE54" s="334">
        <v>0</v>
      </c>
      <c r="AF54" s="334">
        <v>0</v>
      </c>
      <c r="AG54" s="334">
        <v>0</v>
      </c>
      <c r="AH54" s="334">
        <v>0</v>
      </c>
      <c r="AI54" s="334">
        <v>0</v>
      </c>
      <c r="AJ54" s="334">
        <v>0</v>
      </c>
      <c r="AK54" s="334">
        <v>0</v>
      </c>
      <c r="AL54" s="334">
        <v>0</v>
      </c>
      <c r="AM54" s="334">
        <v>0</v>
      </c>
      <c r="AN54" s="334">
        <v>0</v>
      </c>
      <c r="AO54" s="334">
        <v>0</v>
      </c>
      <c r="AP54" s="334">
        <v>0</v>
      </c>
      <c r="AQ54" s="334">
        <v>0</v>
      </c>
      <c r="AR54" s="334">
        <v>0</v>
      </c>
      <c r="AS54" s="334">
        <v>0</v>
      </c>
      <c r="AT54" s="334">
        <v>0</v>
      </c>
      <c r="AU54" s="334">
        <v>0</v>
      </c>
      <c r="AV54" s="334">
        <v>0</v>
      </c>
      <c r="AW54" s="334">
        <v>1.2951851653376719E-3</v>
      </c>
      <c r="AX54" s="334">
        <v>2.7482640266950202E-3</v>
      </c>
      <c r="AY54" s="334">
        <v>2.6982315314384446E-3</v>
      </c>
      <c r="AZ54" s="334">
        <v>2.6982315314384446E-3</v>
      </c>
      <c r="BA54" s="334">
        <v>2.9438641472500065E-3</v>
      </c>
      <c r="BB54" s="334">
        <v>2.9749285273421308E-3</v>
      </c>
      <c r="BC54" s="334">
        <v>1.5193228894764649E-2</v>
      </c>
      <c r="BD54" s="334">
        <v>2.6160123901441068E-2</v>
      </c>
      <c r="BE54" s="334">
        <v>2.5138392531880663E-2</v>
      </c>
    </row>
    <row r="55" spans="2:57">
      <c r="B55" t="s">
        <v>587</v>
      </c>
      <c r="C55" s="334">
        <v>4.7380789932529761E-3</v>
      </c>
      <c r="D55" s="334">
        <v>4.7380789932529761E-3</v>
      </c>
      <c r="E55" s="334">
        <v>4.6965996618448247E-3</v>
      </c>
      <c r="F55" s="334">
        <v>4.6965996618448247E-3</v>
      </c>
      <c r="G55" s="334">
        <v>4.6965996618448247E-3</v>
      </c>
      <c r="H55" s="334">
        <v>4.2108809162876874E-3</v>
      </c>
      <c r="I55" s="334">
        <v>4.2108809162876874E-3</v>
      </c>
      <c r="J55" s="334">
        <v>3.8162112654556556E-3</v>
      </c>
      <c r="K55" s="334">
        <v>3.8162112654556556E-3</v>
      </c>
      <c r="L55" s="334">
        <v>3.7693745853687958E-3</v>
      </c>
      <c r="M55" s="334">
        <v>3.7693745853687958E-3</v>
      </c>
      <c r="N55" s="334">
        <v>3.7693745853687958E-3</v>
      </c>
      <c r="O55" s="334">
        <v>3.7693745853687958E-3</v>
      </c>
      <c r="P55" s="334">
        <v>3.7693745853687958E-3</v>
      </c>
      <c r="Q55" s="334">
        <v>3.0816033212287953E-3</v>
      </c>
      <c r="R55" s="334">
        <v>3.1316312291276779E-3</v>
      </c>
      <c r="S55" s="334">
        <v>2.6457658222087703E-3</v>
      </c>
      <c r="T55" s="334">
        <v>2.6456605452431234E-3</v>
      </c>
      <c r="U55" s="334">
        <v>2.6452406407153749E-3</v>
      </c>
      <c r="V55" s="334">
        <v>2.638958029589264E-3</v>
      </c>
      <c r="W55" s="334">
        <v>2.5444163495645386E-3</v>
      </c>
      <c r="X55" s="334">
        <v>0</v>
      </c>
      <c r="Y55" s="334">
        <v>0</v>
      </c>
      <c r="Z55" s="334">
        <v>0</v>
      </c>
      <c r="AA55" s="334">
        <v>0</v>
      </c>
      <c r="AB55" s="334">
        <v>0</v>
      </c>
      <c r="AC55" s="334">
        <v>0</v>
      </c>
      <c r="AD55" s="334">
        <v>0</v>
      </c>
      <c r="AE55" s="334">
        <v>0</v>
      </c>
      <c r="AF55" s="334">
        <v>0</v>
      </c>
      <c r="AG55" s="334">
        <v>0</v>
      </c>
      <c r="AH55" s="334">
        <v>0</v>
      </c>
      <c r="AI55" s="334">
        <v>0</v>
      </c>
      <c r="AJ55" s="334">
        <v>0</v>
      </c>
      <c r="AK55" s="334">
        <v>0</v>
      </c>
      <c r="AL55" s="334">
        <v>0</v>
      </c>
      <c r="AM55" s="334">
        <v>0</v>
      </c>
      <c r="AN55" s="334">
        <v>0</v>
      </c>
      <c r="AO55" s="334">
        <v>0</v>
      </c>
      <c r="AP55" s="334">
        <v>2.933428767549238E-4</v>
      </c>
      <c r="AQ55" s="334">
        <v>1.2303175189590197E-3</v>
      </c>
      <c r="AR55" s="334">
        <v>1.1965213921172498E-3</v>
      </c>
      <c r="AS55" s="334">
        <v>1.1492535598129016E-3</v>
      </c>
      <c r="AT55" s="334">
        <v>1.5290463863298158E-3</v>
      </c>
      <c r="AU55" s="334">
        <v>1.5242636576008439E-3</v>
      </c>
      <c r="AV55" s="334">
        <v>1.5197753645363268E-3</v>
      </c>
      <c r="AW55" s="334">
        <v>1.5542221984052062E-3</v>
      </c>
      <c r="AX55" s="334">
        <v>1.5519608621336583E-3</v>
      </c>
      <c r="AY55" s="334">
        <v>1.5237072177534746E-3</v>
      </c>
      <c r="AZ55" s="334">
        <v>1.5237072177534746E-3</v>
      </c>
      <c r="BA55" s="334">
        <v>1.6624174008000037E-3</v>
      </c>
      <c r="BB55" s="334">
        <v>1.6799596389696738E-3</v>
      </c>
      <c r="BC55" s="334">
        <v>1.5036597669045425E-3</v>
      </c>
      <c r="BD55" s="334">
        <v>1.6553298739894911E-3</v>
      </c>
      <c r="BE55" s="334">
        <v>1.5906779455201324E-3</v>
      </c>
    </row>
    <row r="67" spans="2:15">
      <c r="B67" t="s">
        <v>232</v>
      </c>
      <c r="C67" t="s">
        <v>231</v>
      </c>
      <c r="D67" t="s">
        <v>314</v>
      </c>
      <c r="E67" t="s">
        <v>377</v>
      </c>
      <c r="F67" t="s">
        <v>378</v>
      </c>
      <c r="G67" t="s">
        <v>271</v>
      </c>
      <c r="H67" t="s">
        <v>341</v>
      </c>
    </row>
    <row r="68" spans="2:15">
      <c r="B68" s="34">
        <v>10748</v>
      </c>
      <c r="C68" s="34">
        <v>8490</v>
      </c>
      <c r="D68" s="111">
        <v>457</v>
      </c>
      <c r="E68" s="34">
        <v>291</v>
      </c>
      <c r="F68" s="34">
        <v>3059</v>
      </c>
      <c r="G68" s="43">
        <v>33</v>
      </c>
      <c r="H68" s="34">
        <v>276</v>
      </c>
      <c r="I68" s="304" t="s">
        <v>11</v>
      </c>
      <c r="J68" s="111" t="s">
        <v>11</v>
      </c>
      <c r="K68" s="304"/>
      <c r="L68" s="43"/>
      <c r="M68" s="304"/>
      <c r="N68" s="34"/>
      <c r="O68" s="304"/>
    </row>
  </sheetData>
  <mergeCells count="3">
    <mergeCell ref="A1:U1"/>
    <mergeCell ref="V1:AP1"/>
    <mergeCell ref="B42:Q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6"/>
  <sheetViews>
    <sheetView workbookViewId="0">
      <selection activeCell="S145" sqref="S145"/>
    </sheetView>
  </sheetViews>
  <sheetFormatPr defaultColWidth="8.85546875" defaultRowHeight="12.75"/>
  <cols>
    <col min="1" max="1" width="2.140625" style="164" customWidth="1"/>
    <col min="2" max="2" width="47.7109375" style="160" customWidth="1"/>
    <col min="3" max="10" width="10.42578125" style="160" customWidth="1"/>
    <col min="11" max="11" width="13.7109375" style="160" customWidth="1"/>
    <col min="12" max="21" width="10.42578125" style="160" customWidth="1"/>
    <col min="22" max="22" width="10.5703125" style="160" customWidth="1"/>
    <col min="23" max="23" width="9.42578125" style="160" customWidth="1"/>
    <col min="24" max="24" width="9.42578125" style="95" customWidth="1"/>
    <col min="25" max="25" width="4.85546875" style="95" customWidth="1"/>
    <col min="26" max="26" width="11.28515625" style="160" customWidth="1"/>
    <col min="27" max="27" width="3" style="96" customWidth="1"/>
    <col min="28" max="28" width="19.5703125" style="96" customWidth="1"/>
    <col min="29" max="29" width="11.7109375" style="96" customWidth="1"/>
    <col min="30" max="30" width="8.42578125" style="96" customWidth="1"/>
    <col min="31" max="31" width="12.42578125" style="96" customWidth="1"/>
    <col min="32" max="32" width="10.42578125" style="160" customWidth="1"/>
    <col min="33" max="33" width="9.5703125" style="160" customWidth="1"/>
    <col min="34" max="16384" width="8.85546875" style="160"/>
  </cols>
  <sheetData>
    <row r="1" spans="1:37" ht="19.5" customHeight="1">
      <c r="A1" s="492" t="s">
        <v>573</v>
      </c>
      <c r="B1" s="493"/>
      <c r="C1" s="493"/>
      <c r="D1" s="493"/>
      <c r="E1" s="493"/>
      <c r="F1" s="493"/>
      <c r="G1" s="493"/>
      <c r="H1" s="493"/>
      <c r="I1" s="493"/>
      <c r="J1" s="493"/>
      <c r="K1" s="493"/>
      <c r="L1" s="493"/>
      <c r="M1" s="493"/>
      <c r="N1" s="493"/>
      <c r="O1" s="493"/>
      <c r="P1" s="493"/>
      <c r="Q1" s="493"/>
      <c r="R1" s="493"/>
      <c r="S1" s="493"/>
      <c r="T1" s="493"/>
      <c r="U1" s="493"/>
      <c r="V1" s="493"/>
      <c r="W1" s="493"/>
      <c r="X1" s="493"/>
      <c r="Y1" s="493"/>
      <c r="Z1" s="493"/>
    </row>
    <row r="2" spans="1:37">
      <c r="A2" s="161"/>
      <c r="B2" s="162"/>
      <c r="C2" s="163"/>
      <c r="D2" s="163"/>
    </row>
    <row r="3" spans="1:37" ht="16.149999999999999" customHeight="1">
      <c r="A3" s="164" t="s">
        <v>73</v>
      </c>
      <c r="C3" s="165"/>
      <c r="D3" s="166"/>
      <c r="E3" s="166"/>
      <c r="F3" s="167"/>
      <c r="G3" s="167"/>
      <c r="H3" s="167"/>
      <c r="I3" s="167"/>
      <c r="J3" s="167"/>
      <c r="K3" s="167"/>
      <c r="L3" s="167"/>
      <c r="M3" s="167"/>
      <c r="N3" s="167"/>
      <c r="O3" s="167"/>
      <c r="P3" s="167"/>
      <c r="Q3" s="167"/>
      <c r="R3" s="167"/>
      <c r="S3" s="167"/>
      <c r="T3" s="167"/>
      <c r="U3" s="405"/>
      <c r="V3" s="496" t="s">
        <v>276</v>
      </c>
      <c r="W3" s="496"/>
      <c r="X3" s="497"/>
      <c r="Y3" s="307"/>
      <c r="Z3" s="491" t="s">
        <v>286</v>
      </c>
      <c r="AB3" s="491" t="s">
        <v>408</v>
      </c>
    </row>
    <row r="4" spans="1:37" ht="12.75" customHeight="1">
      <c r="B4" s="168" t="s">
        <v>74</v>
      </c>
      <c r="C4" s="272">
        <v>2006</v>
      </c>
      <c r="D4" s="169">
        <v>2007</v>
      </c>
      <c r="E4" s="169">
        <v>2008</v>
      </c>
      <c r="F4" s="169">
        <v>2009</v>
      </c>
      <c r="G4" s="169">
        <v>2010</v>
      </c>
      <c r="H4" s="169">
        <v>2011</v>
      </c>
      <c r="I4" s="169">
        <v>2012</v>
      </c>
      <c r="J4" s="169">
        <v>2013</v>
      </c>
      <c r="K4" s="169">
        <v>2014</v>
      </c>
      <c r="L4" s="169">
        <v>2015</v>
      </c>
      <c r="M4" s="169">
        <v>2016</v>
      </c>
      <c r="N4" s="169">
        <v>2017</v>
      </c>
      <c r="O4" s="169">
        <v>2018</v>
      </c>
      <c r="P4" s="169">
        <v>2019</v>
      </c>
      <c r="Q4" s="169">
        <v>2020</v>
      </c>
      <c r="R4" s="169">
        <v>2021</v>
      </c>
      <c r="S4" s="169">
        <v>2022</v>
      </c>
      <c r="T4" s="169">
        <v>2023</v>
      </c>
      <c r="U4" s="272" t="s">
        <v>574</v>
      </c>
      <c r="V4" s="410" t="s">
        <v>387</v>
      </c>
      <c r="W4" s="309" t="s">
        <v>295</v>
      </c>
      <c r="X4" s="273" t="s">
        <v>222</v>
      </c>
      <c r="Y4" s="273"/>
      <c r="Z4" s="491"/>
      <c r="AB4" s="491"/>
    </row>
    <row r="5" spans="1:37">
      <c r="C5" s="274"/>
      <c r="D5" s="96"/>
      <c r="E5" s="96"/>
      <c r="U5" s="276"/>
      <c r="V5" s="411"/>
      <c r="W5" s="310"/>
      <c r="X5" s="275"/>
      <c r="Y5" s="275"/>
    </row>
    <row r="6" spans="1:37">
      <c r="A6" s="164" t="s">
        <v>348</v>
      </c>
      <c r="C6" s="274"/>
      <c r="D6" s="96"/>
      <c r="E6" s="96"/>
      <c r="U6" s="276"/>
      <c r="V6" s="411"/>
      <c r="W6" s="310"/>
      <c r="X6" s="275"/>
      <c r="Y6" s="275"/>
    </row>
    <row r="7" spans="1:37">
      <c r="B7" s="160" t="s">
        <v>349</v>
      </c>
      <c r="C7" s="279" t="s">
        <v>10</v>
      </c>
      <c r="D7" s="105" t="s">
        <v>10</v>
      </c>
      <c r="E7" s="105" t="s">
        <v>10</v>
      </c>
      <c r="F7" s="105" t="s">
        <v>10</v>
      </c>
      <c r="G7" s="105" t="s">
        <v>10</v>
      </c>
      <c r="H7" s="105" t="s">
        <v>10</v>
      </c>
      <c r="I7" s="105" t="s">
        <v>10</v>
      </c>
      <c r="J7" s="105" t="s">
        <v>10</v>
      </c>
      <c r="K7" s="105" t="s">
        <v>10</v>
      </c>
      <c r="L7" s="105" t="s">
        <v>10</v>
      </c>
      <c r="M7" s="105" t="s">
        <v>10</v>
      </c>
      <c r="N7" s="105" t="s">
        <v>10</v>
      </c>
      <c r="O7" s="105" t="s">
        <v>10</v>
      </c>
      <c r="P7" s="105" t="s">
        <v>10</v>
      </c>
      <c r="Q7" s="277">
        <v>256137</v>
      </c>
      <c r="R7" s="277">
        <v>293533</v>
      </c>
      <c r="S7" s="277">
        <v>308860</v>
      </c>
      <c r="T7" s="277">
        <v>248245</v>
      </c>
      <c r="U7" s="406">
        <f>(R7+S7+T7)/3/8760</f>
        <v>32.368264840182647</v>
      </c>
      <c r="V7" s="316">
        <f>(Q7)/8760</f>
        <v>29.239383561643837</v>
      </c>
      <c r="W7" s="401" t="s">
        <v>10</v>
      </c>
      <c r="X7" s="401" t="s">
        <v>10</v>
      </c>
      <c r="Y7" s="275"/>
      <c r="Z7" s="160">
        <v>80</v>
      </c>
      <c r="AB7" s="391" t="s">
        <v>398</v>
      </c>
    </row>
    <row r="8" spans="1:37">
      <c r="C8" s="279"/>
      <c r="D8" s="105"/>
      <c r="E8" s="105"/>
      <c r="F8" s="105"/>
      <c r="G8" s="105"/>
      <c r="H8" s="105"/>
      <c r="I8" s="105"/>
      <c r="J8" s="105"/>
      <c r="K8" s="105"/>
      <c r="L8" s="105"/>
      <c r="M8" s="105"/>
      <c r="N8" s="105"/>
      <c r="O8" s="105"/>
      <c r="P8" s="105"/>
      <c r="Q8" s="277"/>
      <c r="R8" s="277"/>
      <c r="S8" s="277"/>
      <c r="T8" s="277"/>
      <c r="U8" s="406"/>
      <c r="V8" s="316"/>
      <c r="W8" s="401"/>
      <c r="X8" s="275"/>
      <c r="Y8" s="275"/>
      <c r="AB8" s="391"/>
    </row>
    <row r="9" spans="1:37">
      <c r="A9" s="498" t="s">
        <v>568</v>
      </c>
      <c r="B9" s="499"/>
      <c r="C9" s="279"/>
      <c r="D9" s="105"/>
      <c r="E9" s="105"/>
      <c r="F9" s="105"/>
      <c r="G9" s="105"/>
      <c r="H9" s="105"/>
      <c r="I9" s="105"/>
      <c r="J9" s="105"/>
      <c r="K9" s="105"/>
      <c r="L9" s="105"/>
      <c r="M9" s="105"/>
      <c r="N9" s="105"/>
      <c r="O9" s="105"/>
      <c r="P9" s="105"/>
      <c r="Q9" s="277"/>
      <c r="R9" s="277"/>
      <c r="S9" s="277"/>
      <c r="T9" s="277"/>
      <c r="U9" s="406"/>
      <c r="V9" s="316"/>
      <c r="W9" s="401"/>
      <c r="X9" s="275"/>
      <c r="Y9" s="275"/>
      <c r="AB9" s="391"/>
    </row>
    <row r="10" spans="1:37">
      <c r="A10" s="438"/>
      <c r="B10" s="439" t="s">
        <v>569</v>
      </c>
      <c r="C10" s="279" t="s">
        <v>10</v>
      </c>
      <c r="D10" s="105" t="s">
        <v>10</v>
      </c>
      <c r="E10" s="105" t="s">
        <v>10</v>
      </c>
      <c r="F10" s="105" t="s">
        <v>10</v>
      </c>
      <c r="G10" s="105" t="s">
        <v>10</v>
      </c>
      <c r="H10" s="105" t="s">
        <v>10</v>
      </c>
      <c r="I10" s="105" t="s">
        <v>10</v>
      </c>
      <c r="J10" s="105" t="s">
        <v>10</v>
      </c>
      <c r="K10" s="105" t="s">
        <v>10</v>
      </c>
      <c r="L10" s="105" t="s">
        <v>10</v>
      </c>
      <c r="M10" s="105" t="s">
        <v>10</v>
      </c>
      <c r="N10" s="105" t="s">
        <v>10</v>
      </c>
      <c r="O10" s="105" t="s">
        <v>10</v>
      </c>
      <c r="P10" s="105" t="s">
        <v>10</v>
      </c>
      <c r="Q10" s="105" t="s">
        <v>10</v>
      </c>
      <c r="R10" s="105" t="s">
        <v>10</v>
      </c>
      <c r="S10" s="105" t="s">
        <v>10</v>
      </c>
      <c r="T10" s="277">
        <v>54349</v>
      </c>
      <c r="U10" s="441">
        <f>T10/8760</f>
        <v>6.2042237442922374</v>
      </c>
      <c r="V10" s="401" t="s">
        <v>10</v>
      </c>
      <c r="W10" s="401" t="s">
        <v>10</v>
      </c>
      <c r="X10" s="401" t="s">
        <v>10</v>
      </c>
      <c r="Y10" s="275"/>
      <c r="AB10" s="391"/>
    </row>
    <row r="11" spans="1:37">
      <c r="C11" s="274"/>
      <c r="D11" s="96"/>
      <c r="E11" s="96"/>
      <c r="U11" s="276"/>
      <c r="V11" s="411"/>
      <c r="W11" s="310"/>
      <c r="X11" s="275"/>
      <c r="Y11" s="275"/>
    </row>
    <row r="12" spans="1:37">
      <c r="A12" s="164" t="s">
        <v>50</v>
      </c>
      <c r="C12" s="274"/>
      <c r="D12" s="96"/>
      <c r="E12" s="96"/>
      <c r="U12" s="276"/>
      <c r="V12" s="411"/>
      <c r="W12" s="310"/>
      <c r="X12" s="275"/>
      <c r="Y12" s="275"/>
      <c r="AG12" s="96"/>
      <c r="AH12" s="96"/>
      <c r="AI12" s="96"/>
      <c r="AJ12" s="96"/>
      <c r="AK12" s="96"/>
    </row>
    <row r="13" spans="1:37" ht="15">
      <c r="B13" s="170" t="s">
        <v>75</v>
      </c>
      <c r="C13" s="276">
        <v>1823945</v>
      </c>
      <c r="D13" s="160">
        <v>1590451</v>
      </c>
      <c r="E13" s="91">
        <v>1696459</v>
      </c>
      <c r="F13" s="91">
        <v>1673251</v>
      </c>
      <c r="G13" s="91">
        <v>1503127</v>
      </c>
      <c r="H13" s="171">
        <v>2109683</v>
      </c>
      <c r="I13" s="171">
        <v>1822999</v>
      </c>
      <c r="J13" s="171">
        <v>1581223</v>
      </c>
      <c r="K13" s="171">
        <v>1968070</v>
      </c>
      <c r="L13" s="171">
        <v>1635111</v>
      </c>
      <c r="M13" s="277">
        <v>1695642</v>
      </c>
      <c r="N13" s="277">
        <v>1866144</v>
      </c>
      <c r="O13" s="277">
        <v>1840622</v>
      </c>
      <c r="P13" s="277">
        <v>1573513</v>
      </c>
      <c r="Q13" s="277">
        <v>1596460</v>
      </c>
      <c r="R13" s="277">
        <v>1568975</v>
      </c>
      <c r="S13" s="277">
        <v>1741340</v>
      </c>
      <c r="T13" s="277">
        <v>1304302</v>
      </c>
      <c r="U13" s="406">
        <f>(R13+S13+T13)/3/8760</f>
        <v>175.59425418569256</v>
      </c>
      <c r="V13" s="316">
        <f>(M13+N13+O13+P13+Q13)/5/8760</f>
        <v>195.71646118721461</v>
      </c>
      <c r="W13" s="311">
        <f>(H13+I13+J13+K13+L13)/5/8760</f>
        <v>208.15264840182647</v>
      </c>
      <c r="X13" s="275">
        <v>189.20623287671233</v>
      </c>
      <c r="Y13" s="275"/>
      <c r="Z13" s="160">
        <v>562</v>
      </c>
      <c r="AB13" s="319">
        <f>V13/Z13</f>
        <v>0.3482499309381043</v>
      </c>
    </row>
    <row r="14" spans="1:37">
      <c r="C14" s="274"/>
      <c r="D14" s="96"/>
      <c r="R14" s="277"/>
      <c r="S14" s="277"/>
      <c r="T14" s="277"/>
      <c r="U14" s="406"/>
      <c r="V14" s="316"/>
      <c r="W14" s="312"/>
      <c r="X14" s="275"/>
      <c r="Y14" s="275"/>
    </row>
    <row r="15" spans="1:37">
      <c r="A15" s="102" t="s">
        <v>76</v>
      </c>
      <c r="C15" s="274"/>
      <c r="D15" s="96"/>
      <c r="R15" s="277"/>
      <c r="S15" s="277"/>
      <c r="T15" s="277"/>
      <c r="U15" s="406"/>
      <c r="V15" s="316" t="s">
        <v>11</v>
      </c>
      <c r="W15" s="312"/>
      <c r="X15" s="275"/>
      <c r="Y15" s="275"/>
      <c r="AF15" s="172"/>
      <c r="AG15" s="172"/>
      <c r="AH15" s="172"/>
    </row>
    <row r="16" spans="1:37" ht="15">
      <c r="B16" s="96" t="s">
        <v>77</v>
      </c>
      <c r="C16" s="276">
        <v>40587</v>
      </c>
      <c r="D16" s="160">
        <v>80267</v>
      </c>
      <c r="E16" s="91">
        <v>49108</v>
      </c>
      <c r="F16" s="91">
        <v>66127</v>
      </c>
      <c r="G16" s="91">
        <v>18760</v>
      </c>
      <c r="H16" s="91">
        <v>10305</v>
      </c>
      <c r="I16" s="91">
        <v>23438</v>
      </c>
      <c r="J16" s="91">
        <v>33915</v>
      </c>
      <c r="K16" s="171">
        <v>41077</v>
      </c>
      <c r="L16" s="171">
        <v>62770</v>
      </c>
      <c r="M16" s="277">
        <v>92242</v>
      </c>
      <c r="N16" s="277">
        <v>108306</v>
      </c>
      <c r="O16" s="277">
        <v>129765</v>
      </c>
      <c r="P16" s="277">
        <v>156356</v>
      </c>
      <c r="Q16" s="277">
        <v>57048</v>
      </c>
      <c r="R16" s="277">
        <v>119812</v>
      </c>
      <c r="S16" s="277">
        <v>140930</v>
      </c>
      <c r="T16" s="277">
        <v>133279</v>
      </c>
      <c r="U16" s="406">
        <f>(R16+S16+T16)/3/8760</f>
        <v>14.993188736681889</v>
      </c>
      <c r="V16" s="316">
        <f>(M16+N16+O16+P16+Q16)/5/8760</f>
        <v>12.413630136986301</v>
      </c>
      <c r="W16" s="311">
        <f>(H16+I16+J16+K16+L16)/5/8760</f>
        <v>3.9156392694063928</v>
      </c>
      <c r="X16" s="275">
        <v>5.8184703196347032</v>
      </c>
      <c r="Y16" s="275"/>
      <c r="Z16" s="160">
        <v>52</v>
      </c>
      <c r="AB16" s="319">
        <f>V16/Z16</f>
        <v>0.23872365648050578</v>
      </c>
    </row>
    <row r="17" spans="1:34" ht="15">
      <c r="C17" s="274"/>
      <c r="D17" s="96"/>
      <c r="K17" s="171"/>
      <c r="L17" s="171"/>
      <c r="M17" s="171"/>
      <c r="N17" s="171"/>
      <c r="O17" s="171"/>
      <c r="P17" s="171"/>
      <c r="Q17" s="171"/>
      <c r="R17" s="277"/>
      <c r="S17" s="277"/>
      <c r="T17" s="277"/>
      <c r="U17" s="406"/>
      <c r="V17" s="316"/>
      <c r="W17" s="312"/>
      <c r="X17" s="275"/>
      <c r="Y17" s="275"/>
      <c r="AG17" s="91"/>
      <c r="AH17" s="91"/>
    </row>
    <row r="18" spans="1:34" ht="15">
      <c r="A18" s="164" t="s">
        <v>49</v>
      </c>
      <c r="C18" s="274"/>
      <c r="D18" s="96"/>
      <c r="K18" s="171"/>
      <c r="L18" s="171"/>
      <c r="M18" s="171"/>
      <c r="N18" s="171"/>
      <c r="O18" s="171"/>
      <c r="P18" s="171"/>
      <c r="Q18" s="171"/>
      <c r="R18" s="277"/>
      <c r="S18" s="277"/>
      <c r="T18" s="277"/>
      <c r="U18" s="406"/>
      <c r="V18" s="316"/>
      <c r="W18" s="312"/>
      <c r="X18" s="275"/>
      <c r="Y18" s="275"/>
      <c r="AF18" s="173"/>
      <c r="AG18" s="173"/>
      <c r="AH18" s="173"/>
    </row>
    <row r="19" spans="1:34" ht="15">
      <c r="B19" s="170" t="s">
        <v>78</v>
      </c>
      <c r="C19" s="279" t="s">
        <v>10</v>
      </c>
      <c r="D19" s="105" t="s">
        <v>10</v>
      </c>
      <c r="E19" s="105" t="s">
        <v>10</v>
      </c>
      <c r="F19" s="105" t="s">
        <v>10</v>
      </c>
      <c r="G19" s="91">
        <v>5938</v>
      </c>
      <c r="H19" s="91">
        <v>62944</v>
      </c>
      <c r="I19" s="91">
        <v>64496</v>
      </c>
      <c r="J19" s="91">
        <v>127701</v>
      </c>
      <c r="K19" s="171">
        <v>64063</v>
      </c>
      <c r="L19" s="171">
        <v>104141</v>
      </c>
      <c r="M19" s="277">
        <v>95987</v>
      </c>
      <c r="N19" s="277">
        <v>45079</v>
      </c>
      <c r="O19" s="277">
        <v>110554</v>
      </c>
      <c r="P19" s="277">
        <v>116337</v>
      </c>
      <c r="Q19" s="277">
        <v>48207</v>
      </c>
      <c r="R19" s="277">
        <v>117554</v>
      </c>
      <c r="S19" s="277">
        <v>179031</v>
      </c>
      <c r="T19" s="277">
        <v>316611</v>
      </c>
      <c r="U19" s="406">
        <f>(R19+S19+T19)/3/8760</f>
        <v>23.333181126331809</v>
      </c>
      <c r="V19" s="316">
        <f>(M19+N19+O19+P19+Q19)/5/8760</f>
        <v>9.5014611872146126</v>
      </c>
      <c r="W19" s="311">
        <f>(H19+I19+J19+K19+L19)/5/8760</f>
        <v>9.6654109589041095</v>
      </c>
      <c r="X19" s="275">
        <v>0.67785388127853885</v>
      </c>
      <c r="Y19" s="275"/>
      <c r="Z19" s="160">
        <v>91</v>
      </c>
      <c r="AB19" s="319">
        <f>V19/Z19</f>
        <v>0.10441166139796278</v>
      </c>
    </row>
    <row r="20" spans="1:34" ht="15">
      <c r="B20" s="170"/>
      <c r="C20" s="279"/>
      <c r="D20" s="105"/>
      <c r="E20" s="105"/>
      <c r="F20" s="105"/>
      <c r="G20" s="91"/>
      <c r="H20" s="91"/>
      <c r="I20" s="91"/>
      <c r="J20" s="91"/>
      <c r="K20" s="171"/>
      <c r="L20" s="171"/>
      <c r="M20" s="277"/>
      <c r="N20" s="277"/>
      <c r="O20" s="277"/>
      <c r="P20" s="277"/>
      <c r="Q20" s="277"/>
      <c r="R20" s="277"/>
      <c r="S20" s="277"/>
      <c r="T20" s="277"/>
      <c r="U20" s="406"/>
      <c r="V20" s="316"/>
      <c r="W20" s="311"/>
      <c r="X20" s="275"/>
      <c r="Y20" s="275"/>
      <c r="AB20" s="319"/>
    </row>
    <row r="21" spans="1:34">
      <c r="A21" s="190" t="s">
        <v>424</v>
      </c>
      <c r="C21" s="276"/>
      <c r="U21" s="276"/>
      <c r="V21" s="316"/>
      <c r="W21" s="312"/>
      <c r="X21" s="275"/>
      <c r="Y21" s="275"/>
      <c r="AD21" s="160"/>
      <c r="AE21" s="160"/>
    </row>
    <row r="22" spans="1:34" ht="14.25">
      <c r="B22" s="170" t="s">
        <v>344</v>
      </c>
      <c r="C22" s="279" t="s">
        <v>10</v>
      </c>
      <c r="D22" s="105" t="s">
        <v>10</v>
      </c>
      <c r="E22" s="175">
        <v>27689</v>
      </c>
      <c r="F22" s="176">
        <v>257187</v>
      </c>
      <c r="G22" s="175">
        <v>231374</v>
      </c>
      <c r="H22" s="175">
        <v>308543</v>
      </c>
      <c r="I22" s="175">
        <v>290267.01</v>
      </c>
      <c r="J22" s="175">
        <v>284761.62</v>
      </c>
      <c r="K22" s="175">
        <v>272897.46000000002</v>
      </c>
      <c r="L22" s="175">
        <v>260622</v>
      </c>
      <c r="M22" s="277">
        <v>284565.59999999998</v>
      </c>
      <c r="N22" s="277">
        <v>287367</v>
      </c>
      <c r="O22" s="277">
        <v>260131</v>
      </c>
      <c r="P22" s="277">
        <v>254813</v>
      </c>
      <c r="Q22" s="277">
        <v>298845</v>
      </c>
      <c r="R22" s="277">
        <v>266107</v>
      </c>
      <c r="S22" s="277">
        <v>274905</v>
      </c>
      <c r="T22" s="277">
        <v>210692</v>
      </c>
      <c r="U22" s="406">
        <f>(R22+S22+T22)/3/8760</f>
        <v>28.603652968036531</v>
      </c>
      <c r="V22" s="316">
        <f>(M22+N22+O22+P22+Q22)/5/8760</f>
        <v>31.637479452054794</v>
      </c>
      <c r="W22" s="311">
        <f>(H22+I22+J22+K22+L22)/5/8760</f>
        <v>32.35367785388128</v>
      </c>
      <c r="X22" s="275">
        <v>19.644216133942162</v>
      </c>
      <c r="Y22" s="275"/>
      <c r="Z22" s="160">
        <v>105</v>
      </c>
      <c r="AB22" s="319">
        <f>V22/Z22</f>
        <v>0.30130932811480754</v>
      </c>
      <c r="AD22" s="160"/>
      <c r="AE22" s="160"/>
    </row>
    <row r="23" spans="1:34" ht="14.25">
      <c r="B23" s="170" t="s">
        <v>345</v>
      </c>
      <c r="C23" s="279" t="s">
        <v>10</v>
      </c>
      <c r="D23" s="105" t="s">
        <v>10</v>
      </c>
      <c r="E23" s="105" t="s">
        <v>10</v>
      </c>
      <c r="F23" s="175">
        <v>56332</v>
      </c>
      <c r="G23" s="176">
        <v>227020</v>
      </c>
      <c r="H23" s="176">
        <v>321846</v>
      </c>
      <c r="I23" s="176">
        <v>286947.53999999998</v>
      </c>
      <c r="J23" s="176">
        <v>276187.23</v>
      </c>
      <c r="K23" s="176">
        <v>259191.9</v>
      </c>
      <c r="L23" s="176">
        <v>258022</v>
      </c>
      <c r="M23" s="277">
        <v>290304.63</v>
      </c>
      <c r="N23" s="277">
        <v>286219</v>
      </c>
      <c r="O23" s="277">
        <v>248208</v>
      </c>
      <c r="P23" s="277">
        <v>264259</v>
      </c>
      <c r="Q23" s="277">
        <v>323081</v>
      </c>
      <c r="R23" s="277">
        <v>283544</v>
      </c>
      <c r="S23" s="277">
        <v>297676</v>
      </c>
      <c r="T23" s="277">
        <v>245653</v>
      </c>
      <c r="U23" s="406">
        <f>(R23+S23+T23)/3/8760</f>
        <v>31.463964992389649</v>
      </c>
      <c r="V23" s="316">
        <f>(M23+N23+O23+P23+Q23)/5/8760</f>
        <v>32.239078310502286</v>
      </c>
      <c r="W23" s="311">
        <f>(H23+I23+J23+K23+L23)/5/8760</f>
        <v>32.013576940639268</v>
      </c>
      <c r="X23" s="275">
        <v>16.173059360730594</v>
      </c>
      <c r="Y23" s="275"/>
      <c r="Z23" s="160">
        <v>105</v>
      </c>
      <c r="AB23" s="319">
        <f>V23/Z23</f>
        <v>0.3070388410524027</v>
      </c>
      <c r="AD23" s="160"/>
      <c r="AE23" s="160"/>
    </row>
    <row r="24" spans="1:34">
      <c r="B24" s="170" t="s">
        <v>226</v>
      </c>
      <c r="C24" s="279" t="s">
        <v>10</v>
      </c>
      <c r="D24" s="105" t="s">
        <v>10</v>
      </c>
      <c r="E24" s="105" t="s">
        <v>10</v>
      </c>
      <c r="F24" s="105" t="s">
        <v>10</v>
      </c>
      <c r="G24" s="105" t="s">
        <v>10</v>
      </c>
      <c r="H24" s="105" t="s">
        <v>10</v>
      </c>
      <c r="I24" s="176">
        <v>56893.32</v>
      </c>
      <c r="J24" s="176">
        <v>335839.68</v>
      </c>
      <c r="K24" s="176">
        <v>562316.04</v>
      </c>
      <c r="L24" s="176">
        <v>603536</v>
      </c>
      <c r="M24" s="277">
        <v>652904.01</v>
      </c>
      <c r="N24" s="277">
        <v>657608</v>
      </c>
      <c r="O24" s="277">
        <v>628130</v>
      </c>
      <c r="P24" s="277">
        <v>597163</v>
      </c>
      <c r="Q24" s="277">
        <v>705585</v>
      </c>
      <c r="R24" s="277">
        <v>644950</v>
      </c>
      <c r="S24" s="277">
        <v>675505</v>
      </c>
      <c r="T24" s="277">
        <v>563641</v>
      </c>
      <c r="U24" s="406">
        <f>(R24+S24+T24)/3/8760</f>
        <v>71.69315068493151</v>
      </c>
      <c r="V24" s="316">
        <f>(M24+N24+O24+P24+Q24)/5/8760</f>
        <v>74.004338127853885</v>
      </c>
      <c r="W24" s="311">
        <f>(I24+J24+K24+L24)/4/8760</f>
        <v>44.480166666666669</v>
      </c>
      <c r="X24" s="275"/>
      <c r="Y24" s="275"/>
      <c r="Z24" s="160">
        <v>189</v>
      </c>
      <c r="AB24" s="319">
        <f>V24/Z24</f>
        <v>0.39155734459181951</v>
      </c>
      <c r="AD24" s="160"/>
      <c r="AE24" s="160"/>
    </row>
    <row r="25" spans="1:34">
      <c r="C25" s="280"/>
      <c r="D25" s="173"/>
      <c r="E25" s="173"/>
      <c r="F25" s="173"/>
      <c r="R25" s="277"/>
      <c r="S25" s="277"/>
      <c r="T25" s="277"/>
      <c r="U25" s="406"/>
      <c r="V25" s="316"/>
      <c r="W25" s="312"/>
      <c r="X25" s="275"/>
      <c r="Y25" s="275"/>
    </row>
    <row r="26" spans="1:34">
      <c r="A26" s="190" t="s">
        <v>409</v>
      </c>
      <c r="C26" s="276"/>
      <c r="R26" s="277"/>
      <c r="S26" s="277"/>
      <c r="T26" s="277"/>
      <c r="U26" s="406"/>
      <c r="V26" s="316"/>
      <c r="W26" s="312"/>
      <c r="X26" s="275"/>
      <c r="Y26" s="275"/>
    </row>
    <row r="27" spans="1:34">
      <c r="B27" s="96" t="s">
        <v>107</v>
      </c>
      <c r="C27" s="276">
        <v>489442</v>
      </c>
      <c r="D27" s="160">
        <v>728486</v>
      </c>
      <c r="E27" s="91">
        <v>610938</v>
      </c>
      <c r="F27" s="91">
        <v>790037</v>
      </c>
      <c r="G27" s="91">
        <v>793895</v>
      </c>
      <c r="H27" s="91">
        <v>645637</v>
      </c>
      <c r="I27" s="91">
        <v>467195.85</v>
      </c>
      <c r="J27" s="91">
        <v>612292.56999999995</v>
      </c>
      <c r="K27" s="91">
        <v>679775</v>
      </c>
      <c r="L27" s="91">
        <v>489990</v>
      </c>
      <c r="M27" s="91">
        <v>349109</v>
      </c>
      <c r="N27" s="91">
        <v>118345</v>
      </c>
      <c r="O27" s="91">
        <v>147378</v>
      </c>
      <c r="P27" s="91">
        <v>137176</v>
      </c>
      <c r="Q27" s="91">
        <v>51706</v>
      </c>
      <c r="R27" s="277">
        <v>481674</v>
      </c>
      <c r="S27" s="277">
        <v>493908</v>
      </c>
      <c r="T27" s="277" t="s">
        <v>448</v>
      </c>
      <c r="U27" s="406">
        <f>(R27+S27)/2/8760</f>
        <v>55.683904109589044</v>
      </c>
      <c r="V27" s="316">
        <f>(M27+N27+O27+P27+Q27)/5/8760</f>
        <v>18.349634703196347</v>
      </c>
      <c r="W27" s="311">
        <f>(H27+I27+J27+K27+L27)/5/8760</f>
        <v>66.093388584474894</v>
      </c>
      <c r="X27" s="275">
        <v>77.917762557077623</v>
      </c>
      <c r="Y27" s="275"/>
      <c r="Z27" s="160">
        <v>115.7</v>
      </c>
      <c r="AB27" s="319">
        <f>V27/Z27</f>
        <v>0.15859666986340837</v>
      </c>
    </row>
    <row r="28" spans="1:34">
      <c r="C28" s="280"/>
      <c r="D28" s="173"/>
      <c r="E28" s="173"/>
      <c r="F28" s="173"/>
      <c r="R28" s="277"/>
      <c r="S28" s="277"/>
      <c r="T28" s="277"/>
      <c r="U28" s="406"/>
      <c r="V28" s="316"/>
      <c r="W28" s="312"/>
      <c r="X28" s="275"/>
      <c r="Y28" s="275"/>
    </row>
    <row r="29" spans="1:34">
      <c r="A29" s="164" t="s">
        <v>435</v>
      </c>
      <c r="C29" s="276"/>
      <c r="R29" s="277"/>
      <c r="S29" s="277"/>
      <c r="T29" s="277"/>
      <c r="U29" s="406"/>
      <c r="V29" s="316"/>
      <c r="W29" s="312"/>
      <c r="X29" s="275"/>
      <c r="Y29" s="275"/>
    </row>
    <row r="30" spans="1:34" ht="15">
      <c r="B30" s="160" t="s">
        <v>79</v>
      </c>
      <c r="C30" s="276">
        <v>1055468</v>
      </c>
      <c r="D30" s="160">
        <v>931620</v>
      </c>
      <c r="E30" s="160">
        <v>1119403</v>
      </c>
      <c r="F30" s="91">
        <v>742284</v>
      </c>
      <c r="G30" s="91">
        <v>834213</v>
      </c>
      <c r="H30" s="91">
        <v>1378437</v>
      </c>
      <c r="I30" s="171">
        <v>1062677</v>
      </c>
      <c r="J30" s="171">
        <v>1023385</v>
      </c>
      <c r="K30" s="171">
        <v>1004871</v>
      </c>
      <c r="L30" s="171">
        <v>1000298</v>
      </c>
      <c r="M30" s="277">
        <v>835162</v>
      </c>
      <c r="N30" s="277">
        <v>1034475</v>
      </c>
      <c r="O30" s="277">
        <v>998990</v>
      </c>
      <c r="P30" s="277">
        <v>658941</v>
      </c>
      <c r="Q30" s="277">
        <v>925709</v>
      </c>
      <c r="R30" s="277">
        <v>953331</v>
      </c>
      <c r="S30" s="277">
        <v>1008019</v>
      </c>
      <c r="T30" s="277">
        <v>695817</v>
      </c>
      <c r="U30" s="406">
        <f>(R30+S30+T30)/3/8760</f>
        <v>101.10985540334856</v>
      </c>
      <c r="V30" s="316">
        <f>(M30+N30+O30+P30+Q30)/5/8760</f>
        <v>101.67299086757991</v>
      </c>
      <c r="W30" s="311">
        <f>(H30+I30+J30+K30+L30)/5/8760</f>
        <v>124.87826484018265</v>
      </c>
      <c r="X30" s="275">
        <v>106.91753424657534</v>
      </c>
      <c r="Y30" s="275"/>
      <c r="Z30" s="160">
        <v>428</v>
      </c>
      <c r="AB30" s="319">
        <f>V30/Z30</f>
        <v>0.2375537169803269</v>
      </c>
    </row>
    <row r="31" spans="1:34">
      <c r="B31" s="160" t="s">
        <v>80</v>
      </c>
      <c r="C31" s="276">
        <v>2190677</v>
      </c>
      <c r="D31" s="160">
        <v>2344156</v>
      </c>
      <c r="E31" s="91">
        <v>1950437</v>
      </c>
      <c r="F31" s="91">
        <v>1574357</v>
      </c>
      <c r="G31" s="91">
        <v>1701918</v>
      </c>
      <c r="H31" s="91">
        <v>2450665</v>
      </c>
      <c r="I31" s="91">
        <v>2793645</v>
      </c>
      <c r="J31" s="91">
        <v>2306062</v>
      </c>
      <c r="K31" s="91">
        <v>2513693</v>
      </c>
      <c r="L31" s="91">
        <v>1757669</v>
      </c>
      <c r="M31" s="277">
        <v>2185485</v>
      </c>
      <c r="N31" s="277">
        <v>2281280</v>
      </c>
      <c r="O31" s="277">
        <v>2096393</v>
      </c>
      <c r="P31" s="277">
        <v>1511427</v>
      </c>
      <c r="Q31" s="277">
        <v>2310881</v>
      </c>
      <c r="R31" s="277">
        <v>1845254</v>
      </c>
      <c r="S31" s="277">
        <v>2117883</v>
      </c>
      <c r="T31" s="277">
        <v>1693318</v>
      </c>
      <c r="U31" s="406">
        <f>(R31+S31+T31)/3/8760</f>
        <v>215.23801369863014</v>
      </c>
      <c r="V31" s="316">
        <f>(M31+N31+O31+P31+Q31)/5/8760</f>
        <v>237.11109589041095</v>
      </c>
      <c r="W31" s="311">
        <f>(H31+I31+J31+K31+L31)/5/8760</f>
        <v>269.90260273972598</v>
      </c>
      <c r="X31" s="275">
        <v>222.86632420091325</v>
      </c>
      <c r="Y31" s="275"/>
      <c r="Z31" s="160">
        <v>525</v>
      </c>
      <c r="AA31" s="160"/>
      <c r="AB31" s="319">
        <f>V31/Z31</f>
        <v>0.45164018264840183</v>
      </c>
      <c r="AC31" s="160"/>
      <c r="AD31" s="160"/>
      <c r="AE31" s="160"/>
    </row>
    <row r="32" spans="1:34">
      <c r="C32" s="276"/>
      <c r="U32" s="276"/>
      <c r="V32" s="316"/>
      <c r="W32" s="312"/>
      <c r="X32" s="275"/>
      <c r="Y32" s="275"/>
      <c r="AA32" s="160"/>
      <c r="AB32" s="160"/>
      <c r="AC32" s="160"/>
      <c r="AD32" s="160"/>
      <c r="AE32" s="160"/>
    </row>
    <row r="33" spans="1:31">
      <c r="A33" s="164" t="s">
        <v>51</v>
      </c>
      <c r="C33" s="276"/>
      <c r="M33" s="281" t="s">
        <v>11</v>
      </c>
      <c r="N33" s="281"/>
      <c r="O33" s="281"/>
      <c r="P33" s="281"/>
      <c r="Q33" s="281"/>
      <c r="R33" s="281"/>
      <c r="S33" s="281"/>
      <c r="T33" s="281"/>
      <c r="U33" s="407"/>
      <c r="V33" s="316"/>
      <c r="W33" s="312"/>
      <c r="X33" s="275"/>
      <c r="Y33" s="275"/>
      <c r="AA33" s="160"/>
      <c r="AB33" s="160"/>
      <c r="AC33" s="160"/>
      <c r="AD33" s="160"/>
      <c r="AE33" s="160"/>
    </row>
    <row r="34" spans="1:31">
      <c r="B34" s="160" t="s">
        <v>81</v>
      </c>
      <c r="C34" s="276">
        <v>305830.45199999999</v>
      </c>
      <c r="D34" s="160">
        <v>303649.52299999999</v>
      </c>
      <c r="E34" s="91">
        <v>293304.75799999997</v>
      </c>
      <c r="F34" s="91">
        <v>286605.72899999999</v>
      </c>
      <c r="G34" s="91">
        <v>330795.85600000003</v>
      </c>
      <c r="H34" s="91">
        <v>260758</v>
      </c>
      <c r="I34" s="91">
        <v>301086.46000000002</v>
      </c>
      <c r="J34" s="193">
        <v>326416</v>
      </c>
      <c r="K34" s="193">
        <v>308755</v>
      </c>
      <c r="L34" s="193">
        <v>313714</v>
      </c>
      <c r="M34" s="281">
        <v>301332.40899999999</v>
      </c>
      <c r="N34" s="281">
        <v>189924</v>
      </c>
      <c r="O34" s="281">
        <v>327552</v>
      </c>
      <c r="P34" s="281">
        <v>301048</v>
      </c>
      <c r="Q34" s="281">
        <v>272160</v>
      </c>
      <c r="R34" s="281">
        <v>322000</v>
      </c>
      <c r="S34" s="281" t="s">
        <v>448</v>
      </c>
      <c r="T34" s="281">
        <v>306152</v>
      </c>
      <c r="U34" s="406">
        <f>(R34+T34)/8760/2</f>
        <v>35.853424657534248</v>
      </c>
      <c r="V34" s="316">
        <f>(M34+N34+O34+P34+Q34)/5/8760</f>
        <v>31.781196552511414</v>
      </c>
      <c r="W34" s="311">
        <f>(H34+I34+J34+K34+L34)/5/8760</f>
        <v>34.4915401826484</v>
      </c>
      <c r="X34" s="275">
        <v>34.707450182648401</v>
      </c>
      <c r="Y34" s="275"/>
      <c r="Z34" s="160">
        <v>35</v>
      </c>
      <c r="AA34" s="160"/>
      <c r="AB34" s="319">
        <f>V34/Z34</f>
        <v>0.90803418721461182</v>
      </c>
      <c r="AC34" s="160"/>
      <c r="AD34" s="160"/>
      <c r="AE34" s="160"/>
    </row>
    <row r="35" spans="1:31">
      <c r="C35" s="274"/>
      <c r="D35" s="96"/>
      <c r="M35" s="160" t="s">
        <v>11</v>
      </c>
      <c r="U35" s="276"/>
      <c r="V35" s="316"/>
      <c r="W35" s="312"/>
      <c r="X35" s="275"/>
      <c r="Y35" s="275"/>
      <c r="AA35" s="160"/>
      <c r="AB35" s="160"/>
      <c r="AC35" s="160"/>
      <c r="AD35" s="160"/>
      <c r="AE35" s="160"/>
    </row>
    <row r="36" spans="1:31">
      <c r="A36" s="164" t="s">
        <v>319</v>
      </c>
      <c r="C36" s="274"/>
      <c r="D36" s="96"/>
      <c r="U36" s="276"/>
      <c r="V36" s="316"/>
      <c r="W36" s="312"/>
      <c r="X36" s="275"/>
      <c r="Y36" s="275"/>
      <c r="AA36" s="160"/>
      <c r="AB36" s="160"/>
      <c r="AC36" s="160"/>
      <c r="AD36" s="160"/>
      <c r="AE36" s="160"/>
    </row>
    <row r="37" spans="1:31">
      <c r="B37" s="160" t="s">
        <v>355</v>
      </c>
      <c r="C37" s="279" t="s">
        <v>10</v>
      </c>
      <c r="D37" s="105" t="s">
        <v>10</v>
      </c>
      <c r="E37" s="105" t="s">
        <v>10</v>
      </c>
      <c r="F37" s="105" t="s">
        <v>10</v>
      </c>
      <c r="G37" s="105" t="s">
        <v>10</v>
      </c>
      <c r="H37" s="105" t="s">
        <v>10</v>
      </c>
      <c r="I37" s="105" t="s">
        <v>10</v>
      </c>
      <c r="J37" s="105" t="s">
        <v>10</v>
      </c>
      <c r="K37" s="105" t="s">
        <v>10</v>
      </c>
      <c r="L37" s="105" t="s">
        <v>10</v>
      </c>
      <c r="M37" s="105" t="s">
        <v>10</v>
      </c>
      <c r="N37" s="105" t="s">
        <v>10</v>
      </c>
      <c r="O37" s="160">
        <v>65813</v>
      </c>
      <c r="P37" s="281">
        <v>78830</v>
      </c>
      <c r="Q37" s="281">
        <v>95098</v>
      </c>
      <c r="R37" s="281">
        <v>78868</v>
      </c>
      <c r="S37" s="281">
        <v>89477</v>
      </c>
      <c r="T37" s="281">
        <v>73180</v>
      </c>
      <c r="U37" s="406">
        <f>(R37+S37+T37)/3/8760</f>
        <v>9.1904490106544898</v>
      </c>
      <c r="V37" s="316">
        <f>(O37+P37+Q37)/3/8760</f>
        <v>9.1225646879756468</v>
      </c>
      <c r="W37" s="401" t="s">
        <v>10</v>
      </c>
      <c r="X37" s="275"/>
      <c r="Y37" s="275"/>
      <c r="Z37" s="160">
        <v>25</v>
      </c>
      <c r="AA37" s="160"/>
      <c r="AB37" s="319">
        <f>V37/Z37</f>
        <v>0.36490258751902588</v>
      </c>
      <c r="AC37" s="160"/>
      <c r="AD37" s="160"/>
      <c r="AE37" s="160"/>
    </row>
    <row r="38" spans="1:31">
      <c r="C38" s="279"/>
      <c r="D38" s="105"/>
      <c r="E38" s="105"/>
      <c r="F38" s="105"/>
      <c r="G38" s="105"/>
      <c r="H38" s="105"/>
      <c r="I38" s="105"/>
      <c r="J38" s="105"/>
      <c r="K38" s="105"/>
      <c r="L38" s="105"/>
      <c r="M38" s="105"/>
      <c r="N38" s="105"/>
      <c r="P38" s="281"/>
      <c r="Q38" s="281"/>
      <c r="R38" s="281"/>
      <c r="S38" s="281"/>
      <c r="T38" s="281"/>
      <c r="U38" s="407"/>
      <c r="V38" s="316"/>
      <c r="W38" s="312"/>
      <c r="X38" s="275"/>
      <c r="Y38" s="275"/>
      <c r="AA38" s="160"/>
      <c r="AB38" s="160"/>
      <c r="AC38" s="160"/>
      <c r="AD38" s="160"/>
      <c r="AE38" s="160"/>
    </row>
    <row r="39" spans="1:31">
      <c r="A39" s="164" t="s">
        <v>350</v>
      </c>
      <c r="C39" s="279"/>
      <c r="D39" s="105"/>
      <c r="E39" s="105"/>
      <c r="F39" s="105"/>
      <c r="G39" s="105"/>
      <c r="H39" s="105"/>
      <c r="I39" s="105"/>
      <c r="J39" s="105"/>
      <c r="K39" s="105"/>
      <c r="L39" s="105"/>
      <c r="M39" s="105"/>
      <c r="N39" s="105"/>
      <c r="P39" s="281"/>
      <c r="Q39" s="281"/>
      <c r="R39" s="281"/>
      <c r="S39" s="281"/>
      <c r="T39" s="281"/>
      <c r="U39" s="407"/>
      <c r="V39" s="316"/>
      <c r="W39" s="312"/>
      <c r="X39" s="275"/>
      <c r="Y39" s="275"/>
      <c r="AA39" s="160"/>
      <c r="AB39" s="160"/>
      <c r="AC39" s="160"/>
      <c r="AD39" s="160"/>
      <c r="AE39" s="160"/>
    </row>
    <row r="40" spans="1:31">
      <c r="B40" s="160" t="s">
        <v>351</v>
      </c>
      <c r="C40" s="279" t="s">
        <v>10</v>
      </c>
      <c r="D40" s="105" t="s">
        <v>10</v>
      </c>
      <c r="E40" s="105" t="s">
        <v>10</v>
      </c>
      <c r="F40" s="105" t="s">
        <v>10</v>
      </c>
      <c r="G40" s="105" t="s">
        <v>10</v>
      </c>
      <c r="H40" s="105" t="s">
        <v>10</v>
      </c>
      <c r="I40" s="105" t="s">
        <v>10</v>
      </c>
      <c r="J40" s="105" t="s">
        <v>10</v>
      </c>
      <c r="K40" s="105" t="s">
        <v>10</v>
      </c>
      <c r="L40" s="105" t="s">
        <v>10</v>
      </c>
      <c r="M40" s="105" t="s">
        <v>10</v>
      </c>
      <c r="N40" s="105" t="s">
        <v>10</v>
      </c>
      <c r="O40" s="105" t="s">
        <v>10</v>
      </c>
      <c r="P40" s="281">
        <v>96</v>
      </c>
      <c r="Q40" s="281">
        <v>12606</v>
      </c>
      <c r="R40" s="281">
        <v>10902</v>
      </c>
      <c r="S40" s="281" t="s">
        <v>448</v>
      </c>
      <c r="T40" s="281">
        <v>9405</v>
      </c>
      <c r="U40" s="406">
        <f>(R40)/8760</f>
        <v>1.2445205479452055</v>
      </c>
      <c r="V40" s="316">
        <f>(P40+Q40)/2/8760</f>
        <v>0.72499999999999998</v>
      </c>
      <c r="W40" s="401" t="s">
        <v>10</v>
      </c>
      <c r="X40" s="275"/>
      <c r="Y40" s="275"/>
      <c r="Z40" s="160">
        <v>3</v>
      </c>
      <c r="AA40" s="160"/>
      <c r="AB40" s="391" t="s">
        <v>398</v>
      </c>
      <c r="AC40" s="160"/>
      <c r="AD40" s="160"/>
      <c r="AE40" s="160"/>
    </row>
    <row r="41" spans="1:31">
      <c r="C41" s="274"/>
      <c r="D41" s="96"/>
      <c r="P41" s="281"/>
      <c r="Q41" s="281"/>
      <c r="R41" s="281"/>
      <c r="S41" s="281"/>
      <c r="T41" s="281"/>
      <c r="U41" s="407"/>
      <c r="V41" s="316"/>
      <c r="W41" s="312"/>
      <c r="X41" s="275"/>
      <c r="Y41" s="275"/>
      <c r="AA41" s="160"/>
      <c r="AB41" s="160"/>
      <c r="AC41" s="160"/>
      <c r="AD41" s="160"/>
      <c r="AE41" s="160"/>
    </row>
    <row r="42" spans="1:31">
      <c r="A42" s="164" t="s">
        <v>320</v>
      </c>
      <c r="C42" s="274"/>
      <c r="D42" s="96"/>
      <c r="P42" s="281"/>
      <c r="Q42" s="281"/>
      <c r="R42" s="281"/>
      <c r="S42" s="281"/>
      <c r="T42" s="281"/>
      <c r="U42" s="407"/>
      <c r="V42" s="316"/>
      <c r="W42" s="312"/>
      <c r="X42" s="275"/>
      <c r="Y42" s="275"/>
      <c r="AA42" s="160"/>
      <c r="AB42" s="160"/>
      <c r="AC42" s="160"/>
      <c r="AD42" s="160"/>
      <c r="AE42" s="160"/>
    </row>
    <row r="43" spans="1:31">
      <c r="B43" s="336" t="s">
        <v>356</v>
      </c>
      <c r="C43" s="279" t="s">
        <v>10</v>
      </c>
      <c r="D43" s="105" t="s">
        <v>10</v>
      </c>
      <c r="E43" s="105" t="s">
        <v>10</v>
      </c>
      <c r="F43" s="105" t="s">
        <v>10</v>
      </c>
      <c r="G43" s="105" t="s">
        <v>10</v>
      </c>
      <c r="H43" s="105" t="s">
        <v>10</v>
      </c>
      <c r="I43" s="105" t="s">
        <v>10</v>
      </c>
      <c r="J43" s="105" t="s">
        <v>10</v>
      </c>
      <c r="K43" s="105" t="s">
        <v>10</v>
      </c>
      <c r="L43" s="105" t="s">
        <v>10</v>
      </c>
      <c r="M43" s="105" t="s">
        <v>10</v>
      </c>
      <c r="N43" s="105" t="s">
        <v>10</v>
      </c>
      <c r="O43" s="277">
        <v>3916</v>
      </c>
      <c r="P43" s="281">
        <v>2934</v>
      </c>
      <c r="Q43" s="281">
        <v>3175</v>
      </c>
      <c r="R43" s="277">
        <v>3814</v>
      </c>
      <c r="S43" s="277">
        <v>3515</v>
      </c>
      <c r="T43" s="436">
        <v>3631</v>
      </c>
      <c r="U43" s="406">
        <f>(R43+S43+T43)/3/8760</f>
        <v>0.41704718417047187</v>
      </c>
      <c r="V43" s="316">
        <f t="shared" ref="V43:V48" si="0">(O43+P43+Q43)/3/8760</f>
        <v>0.38146879756468793</v>
      </c>
      <c r="W43" s="306" t="s">
        <v>10</v>
      </c>
      <c r="X43" s="306" t="s">
        <v>10</v>
      </c>
      <c r="Y43" s="275"/>
      <c r="Z43" s="160">
        <v>2</v>
      </c>
      <c r="AA43" s="160"/>
      <c r="AB43" s="319">
        <f t="shared" ref="AB43:AB48" si="1">V43/Z43</f>
        <v>0.19073439878234397</v>
      </c>
      <c r="AC43" s="160"/>
      <c r="AD43" s="160"/>
      <c r="AE43" s="160"/>
    </row>
    <row r="44" spans="1:31">
      <c r="B44" s="336" t="s">
        <v>357</v>
      </c>
      <c r="C44" s="279" t="s">
        <v>10</v>
      </c>
      <c r="D44" s="105" t="s">
        <v>10</v>
      </c>
      <c r="E44" s="105" t="s">
        <v>10</v>
      </c>
      <c r="F44" s="105" t="s">
        <v>10</v>
      </c>
      <c r="G44" s="105" t="s">
        <v>10</v>
      </c>
      <c r="H44" s="105" t="s">
        <v>10</v>
      </c>
      <c r="I44" s="105" t="s">
        <v>10</v>
      </c>
      <c r="J44" s="105" t="s">
        <v>10</v>
      </c>
      <c r="K44" s="105" t="s">
        <v>10</v>
      </c>
      <c r="L44" s="105" t="s">
        <v>10</v>
      </c>
      <c r="M44" s="105" t="s">
        <v>10</v>
      </c>
      <c r="N44" s="105" t="s">
        <v>10</v>
      </c>
      <c r="O44" s="277">
        <v>5800</v>
      </c>
      <c r="P44" s="281">
        <v>4338</v>
      </c>
      <c r="Q44" s="281">
        <v>5558</v>
      </c>
      <c r="R44" s="277">
        <v>6388</v>
      </c>
      <c r="S44" s="277">
        <v>5859</v>
      </c>
      <c r="T44" s="436">
        <v>5924</v>
      </c>
      <c r="U44" s="406">
        <f>(R44+S44+T44)/3/8760</f>
        <v>0.69143835616438354</v>
      </c>
      <c r="V44" s="316">
        <f t="shared" si="0"/>
        <v>0.59726027397260273</v>
      </c>
      <c r="W44" s="306" t="s">
        <v>10</v>
      </c>
      <c r="X44" s="306" t="s">
        <v>10</v>
      </c>
      <c r="Y44" s="275"/>
      <c r="Z44" s="160">
        <v>3</v>
      </c>
      <c r="AA44" s="160"/>
      <c r="AB44" s="319">
        <f t="shared" si="1"/>
        <v>0.19908675799086759</v>
      </c>
      <c r="AC44" s="160"/>
      <c r="AD44" s="160"/>
      <c r="AE44" s="160"/>
    </row>
    <row r="45" spans="1:31">
      <c r="B45" s="336" t="s">
        <v>358</v>
      </c>
      <c r="C45" s="279" t="s">
        <v>10</v>
      </c>
      <c r="D45" s="105" t="s">
        <v>10</v>
      </c>
      <c r="E45" s="105" t="s">
        <v>10</v>
      </c>
      <c r="F45" s="105" t="s">
        <v>10</v>
      </c>
      <c r="G45" s="105" t="s">
        <v>10</v>
      </c>
      <c r="H45" s="105" t="s">
        <v>10</v>
      </c>
      <c r="I45" s="105" t="s">
        <v>10</v>
      </c>
      <c r="J45" s="105" t="s">
        <v>10</v>
      </c>
      <c r="K45" s="105" t="s">
        <v>10</v>
      </c>
      <c r="L45" s="105" t="s">
        <v>10</v>
      </c>
      <c r="M45" s="105" t="s">
        <v>10</v>
      </c>
      <c r="N45" s="105" t="s">
        <v>10</v>
      </c>
      <c r="O45" s="277">
        <v>6157</v>
      </c>
      <c r="P45" s="281">
        <v>5204</v>
      </c>
      <c r="Q45" s="281">
        <v>5222</v>
      </c>
      <c r="R45" s="277">
        <v>5839</v>
      </c>
      <c r="S45" s="277">
        <v>5539</v>
      </c>
      <c r="T45" s="436">
        <v>5479</v>
      </c>
      <c r="U45" s="406">
        <f>(R45+S45+T45)/3/8760</f>
        <v>0.64143835616438361</v>
      </c>
      <c r="V45" s="316">
        <f t="shared" si="0"/>
        <v>0.63101217656012176</v>
      </c>
      <c r="W45" s="306" t="s">
        <v>10</v>
      </c>
      <c r="X45" s="306" t="s">
        <v>10</v>
      </c>
      <c r="Y45" s="275"/>
      <c r="Z45" s="160">
        <v>3</v>
      </c>
      <c r="AA45" s="160"/>
      <c r="AB45" s="319">
        <f t="shared" si="1"/>
        <v>0.21033739218670724</v>
      </c>
      <c r="AC45" s="160"/>
      <c r="AD45" s="160"/>
      <c r="AE45" s="160"/>
    </row>
    <row r="46" spans="1:31">
      <c r="B46" s="336" t="s">
        <v>359</v>
      </c>
      <c r="C46" s="279" t="s">
        <v>10</v>
      </c>
      <c r="D46" s="105" t="s">
        <v>10</v>
      </c>
      <c r="E46" s="105" t="s">
        <v>10</v>
      </c>
      <c r="F46" s="105" t="s">
        <v>10</v>
      </c>
      <c r="G46" s="105" t="s">
        <v>10</v>
      </c>
      <c r="H46" s="105" t="s">
        <v>10</v>
      </c>
      <c r="I46" s="105" t="s">
        <v>10</v>
      </c>
      <c r="J46" s="105" t="s">
        <v>10</v>
      </c>
      <c r="K46" s="105" t="s">
        <v>10</v>
      </c>
      <c r="L46" s="105" t="s">
        <v>10</v>
      </c>
      <c r="M46" s="105" t="s">
        <v>10</v>
      </c>
      <c r="N46" s="105" t="s">
        <v>10</v>
      </c>
      <c r="O46" s="277">
        <v>6149</v>
      </c>
      <c r="P46" s="281">
        <v>5934</v>
      </c>
      <c r="Q46" s="281">
        <v>6476</v>
      </c>
      <c r="R46" s="277">
        <v>6202</v>
      </c>
      <c r="S46" s="277">
        <v>5987</v>
      </c>
      <c r="T46" s="436">
        <v>5837</v>
      </c>
      <c r="U46" s="406">
        <f t="shared" ref="U46:U48" si="2">(R46+S46)/2/8760</f>
        <v>0.69571917808219175</v>
      </c>
      <c r="V46" s="316">
        <f t="shared" si="0"/>
        <v>0.70620243531202431</v>
      </c>
      <c r="W46" s="306" t="s">
        <v>10</v>
      </c>
      <c r="X46" s="306" t="s">
        <v>10</v>
      </c>
      <c r="Y46" s="275"/>
      <c r="Z46" s="160">
        <v>3</v>
      </c>
      <c r="AA46" s="160"/>
      <c r="AB46" s="319">
        <f t="shared" si="1"/>
        <v>0.23540081177067476</v>
      </c>
      <c r="AC46" s="160"/>
      <c r="AD46" s="160"/>
      <c r="AE46" s="160"/>
    </row>
    <row r="47" spans="1:31">
      <c r="B47" s="336" t="s">
        <v>360</v>
      </c>
      <c r="C47" s="279" t="s">
        <v>10</v>
      </c>
      <c r="D47" s="105" t="s">
        <v>10</v>
      </c>
      <c r="E47" s="105" t="s">
        <v>10</v>
      </c>
      <c r="F47" s="105" t="s">
        <v>10</v>
      </c>
      <c r="G47" s="105" t="s">
        <v>10</v>
      </c>
      <c r="H47" s="105" t="s">
        <v>10</v>
      </c>
      <c r="I47" s="105" t="s">
        <v>10</v>
      </c>
      <c r="J47" s="105" t="s">
        <v>10</v>
      </c>
      <c r="K47" s="105" t="s">
        <v>10</v>
      </c>
      <c r="L47" s="105" t="s">
        <v>10</v>
      </c>
      <c r="M47" s="105" t="s">
        <v>10</v>
      </c>
      <c r="N47" s="105" t="s">
        <v>10</v>
      </c>
      <c r="O47" s="277">
        <v>6105</v>
      </c>
      <c r="P47" s="281">
        <v>5750</v>
      </c>
      <c r="Q47" s="281">
        <v>6034</v>
      </c>
      <c r="R47" s="277">
        <v>5665</v>
      </c>
      <c r="S47" s="277">
        <v>5306</v>
      </c>
      <c r="T47" s="436">
        <v>4996</v>
      </c>
      <c r="U47" s="406">
        <f t="shared" si="2"/>
        <v>0.62619863013698629</v>
      </c>
      <c r="V47" s="316">
        <f t="shared" si="0"/>
        <v>0.68070776255707766</v>
      </c>
      <c r="W47" s="306" t="s">
        <v>10</v>
      </c>
      <c r="X47" s="306" t="s">
        <v>10</v>
      </c>
      <c r="Y47" s="275"/>
      <c r="Z47" s="160">
        <v>3</v>
      </c>
      <c r="AA47" s="160"/>
      <c r="AB47" s="319">
        <f t="shared" si="1"/>
        <v>0.22690258751902589</v>
      </c>
      <c r="AC47" s="160"/>
      <c r="AD47" s="160"/>
      <c r="AE47" s="160"/>
    </row>
    <row r="48" spans="1:31">
      <c r="B48" s="336" t="s">
        <v>361</v>
      </c>
      <c r="C48" s="279" t="s">
        <v>10</v>
      </c>
      <c r="D48" s="105" t="s">
        <v>10</v>
      </c>
      <c r="E48" s="105" t="s">
        <v>10</v>
      </c>
      <c r="F48" s="105" t="s">
        <v>10</v>
      </c>
      <c r="G48" s="105" t="s">
        <v>10</v>
      </c>
      <c r="H48" s="105" t="s">
        <v>10</v>
      </c>
      <c r="I48" s="105" t="s">
        <v>10</v>
      </c>
      <c r="J48" s="105" t="s">
        <v>10</v>
      </c>
      <c r="K48" s="105" t="s">
        <v>10</v>
      </c>
      <c r="L48" s="105" t="s">
        <v>10</v>
      </c>
      <c r="M48" s="105" t="s">
        <v>10</v>
      </c>
      <c r="N48" s="105" t="s">
        <v>10</v>
      </c>
      <c r="O48" s="277">
        <v>5885</v>
      </c>
      <c r="P48" s="281">
        <v>5233</v>
      </c>
      <c r="Q48" s="281">
        <v>6236</v>
      </c>
      <c r="R48" s="277">
        <v>5528</v>
      </c>
      <c r="S48" s="277">
        <v>5405</v>
      </c>
      <c r="T48" s="436">
        <v>5745</v>
      </c>
      <c r="U48" s="406">
        <f t="shared" si="2"/>
        <v>0.62402968036529682</v>
      </c>
      <c r="V48" s="316">
        <f t="shared" si="0"/>
        <v>0.66035007610350083</v>
      </c>
      <c r="W48" s="306" t="s">
        <v>10</v>
      </c>
      <c r="X48" s="306" t="s">
        <v>10</v>
      </c>
      <c r="Y48" s="275"/>
      <c r="Z48" s="160">
        <v>3</v>
      </c>
      <c r="AA48" s="160"/>
      <c r="AB48" s="319">
        <f t="shared" si="1"/>
        <v>0.22011669203450027</v>
      </c>
      <c r="AC48" s="160"/>
      <c r="AD48" s="160"/>
      <c r="AE48" s="160"/>
    </row>
    <row r="49" spans="1:31">
      <c r="B49" s="312"/>
      <c r="C49" s="96"/>
      <c r="D49" s="96"/>
      <c r="U49" s="276"/>
      <c r="V49" s="316"/>
      <c r="W49" s="312"/>
      <c r="X49" s="275"/>
      <c r="Y49" s="275"/>
      <c r="AA49" s="160"/>
      <c r="AB49" s="160"/>
      <c r="AC49" s="160"/>
      <c r="AD49" s="160"/>
      <c r="AE49" s="160"/>
    </row>
    <row r="50" spans="1:31">
      <c r="A50" s="164" t="s">
        <v>217</v>
      </c>
      <c r="C50" s="274"/>
      <c r="D50" s="96"/>
      <c r="U50" s="276"/>
      <c r="V50" s="316"/>
      <c r="W50" s="312"/>
      <c r="X50" s="275"/>
      <c r="Y50" s="275"/>
      <c r="AA50" s="160"/>
      <c r="AB50" s="160"/>
      <c r="AC50" s="160"/>
      <c r="AD50" s="160"/>
      <c r="AE50" s="160"/>
    </row>
    <row r="51" spans="1:31">
      <c r="B51" s="160" t="s">
        <v>228</v>
      </c>
      <c r="C51" s="279" t="s">
        <v>10</v>
      </c>
      <c r="D51" s="105" t="s">
        <v>10</v>
      </c>
      <c r="E51" s="105" t="s">
        <v>10</v>
      </c>
      <c r="F51" s="105" t="s">
        <v>10</v>
      </c>
      <c r="G51" s="105" t="s">
        <v>10</v>
      </c>
      <c r="H51" s="105" t="s">
        <v>10</v>
      </c>
      <c r="I51" s="105" t="s">
        <v>10</v>
      </c>
      <c r="J51" s="160">
        <v>5117</v>
      </c>
      <c r="K51" s="160">
        <v>13009</v>
      </c>
      <c r="L51" s="160">
        <v>21281</v>
      </c>
      <c r="M51" s="277">
        <v>20150</v>
      </c>
      <c r="N51" s="277">
        <v>21182</v>
      </c>
      <c r="O51" s="277">
        <v>21331</v>
      </c>
      <c r="P51" s="277">
        <v>20140</v>
      </c>
      <c r="Q51" s="277">
        <v>21309</v>
      </c>
      <c r="R51" s="277">
        <v>20725</v>
      </c>
      <c r="S51" s="277">
        <v>19041</v>
      </c>
      <c r="T51" s="277">
        <v>19688</v>
      </c>
      <c r="U51" s="406">
        <f>(R51+S51+T51)/3/8760</f>
        <v>2.2623287671232877</v>
      </c>
      <c r="V51" s="316">
        <f>(M51+N51+O51+P51+Q51)/5/8760</f>
        <v>2.3769863013698633</v>
      </c>
      <c r="W51" s="311">
        <f>(J51+K51+L51)/3/8760</f>
        <v>1.4995053272450531</v>
      </c>
      <c r="X51" s="306" t="s">
        <v>10</v>
      </c>
      <c r="Y51" s="306"/>
      <c r="Z51" s="160">
        <v>2.5</v>
      </c>
      <c r="AA51" s="160"/>
      <c r="AB51" s="319">
        <f>V51/Z51</f>
        <v>0.95079452054794533</v>
      </c>
      <c r="AC51" s="160"/>
      <c r="AD51" s="160"/>
      <c r="AE51" s="160"/>
    </row>
    <row r="52" spans="1:31">
      <c r="C52" s="274"/>
      <c r="D52" s="96"/>
      <c r="U52" s="276"/>
      <c r="V52" s="316"/>
      <c r="W52" s="312"/>
      <c r="X52" s="275"/>
      <c r="Y52" s="275"/>
      <c r="AA52" s="160"/>
      <c r="AB52" s="160"/>
      <c r="AC52" s="160"/>
      <c r="AD52" s="160"/>
      <c r="AE52" s="160"/>
    </row>
    <row r="53" spans="1:31">
      <c r="A53" s="164" t="s">
        <v>52</v>
      </c>
      <c r="C53" s="274"/>
      <c r="D53" s="96"/>
      <c r="U53" s="276"/>
      <c r="V53" s="316"/>
      <c r="W53" s="312"/>
      <c r="X53" s="275"/>
      <c r="Y53" s="275"/>
      <c r="AA53" s="160"/>
      <c r="AB53" s="160"/>
      <c r="AC53" s="160"/>
      <c r="AD53" s="160"/>
      <c r="AE53" s="160"/>
    </row>
    <row r="54" spans="1:31">
      <c r="B54" s="160" t="s">
        <v>82</v>
      </c>
      <c r="C54" s="279" t="s">
        <v>10</v>
      </c>
      <c r="D54" s="105" t="s">
        <v>10</v>
      </c>
      <c r="E54" s="105" t="s">
        <v>10</v>
      </c>
      <c r="F54" s="160">
        <v>3071.9169999999999</v>
      </c>
      <c r="G54" s="160">
        <v>7285.0460000000003</v>
      </c>
      <c r="H54" s="160">
        <v>8572</v>
      </c>
      <c r="I54" s="160">
        <v>9303</v>
      </c>
      <c r="J54" s="160">
        <v>9420</v>
      </c>
      <c r="K54" s="160">
        <v>9997</v>
      </c>
      <c r="L54" s="160">
        <v>11639</v>
      </c>
      <c r="M54" s="160">
        <v>8855</v>
      </c>
      <c r="N54" s="160">
        <v>11226</v>
      </c>
      <c r="O54" s="160">
        <v>11533</v>
      </c>
      <c r="P54" s="160">
        <v>10800</v>
      </c>
      <c r="Q54" s="160">
        <v>11994</v>
      </c>
      <c r="R54" s="160">
        <v>11557</v>
      </c>
      <c r="S54" s="160">
        <v>8911</v>
      </c>
      <c r="T54" s="160">
        <v>7447</v>
      </c>
      <c r="U54" s="406">
        <f>(R54+S54+T54)/3/8760</f>
        <v>1.0622146118721461</v>
      </c>
      <c r="V54" s="316">
        <f>(M54+N54+O54+P54+Q54)/5/8760</f>
        <v>1.2421917808219178</v>
      </c>
      <c r="W54" s="311">
        <f>(H54+I54+J54+K54+L54)/5/8760</f>
        <v>1.1171461187214613</v>
      </c>
      <c r="X54" s="275">
        <v>0.59115085616438356</v>
      </c>
      <c r="Y54" s="275"/>
      <c r="Z54" s="160">
        <v>1.6</v>
      </c>
      <c r="AA54" s="160"/>
      <c r="AB54" s="319">
        <f>V54/Z54</f>
        <v>0.77636986301369859</v>
      </c>
      <c r="AC54" s="160"/>
      <c r="AD54" s="160"/>
      <c r="AE54" s="160"/>
    </row>
    <row r="55" spans="1:31">
      <c r="C55" s="279"/>
      <c r="D55" s="105"/>
      <c r="E55" s="105"/>
      <c r="U55" s="276"/>
      <c r="V55" s="316"/>
      <c r="W55" s="312"/>
      <c r="X55" s="275"/>
      <c r="Y55" s="275"/>
      <c r="AA55" s="160"/>
      <c r="AB55" s="160"/>
      <c r="AC55" s="160"/>
      <c r="AD55" s="160"/>
      <c r="AE55" s="160"/>
    </row>
    <row r="56" spans="1:31">
      <c r="A56" s="164" t="s">
        <v>223</v>
      </c>
      <c r="C56" s="279"/>
      <c r="D56" s="105"/>
      <c r="E56" s="105"/>
      <c r="U56" s="276"/>
      <c r="V56" s="316"/>
      <c r="W56" s="312"/>
      <c r="X56" s="275"/>
      <c r="Y56" s="275"/>
      <c r="AA56" s="160"/>
      <c r="AB56" s="160"/>
      <c r="AC56" s="160"/>
      <c r="AD56" s="160"/>
      <c r="AE56" s="160"/>
    </row>
    <row r="57" spans="1:31" ht="15">
      <c r="B57" s="160" t="s">
        <v>236</v>
      </c>
      <c r="C57" s="279" t="s">
        <v>10</v>
      </c>
      <c r="D57" s="105" t="s">
        <v>10</v>
      </c>
      <c r="E57" s="105" t="s">
        <v>10</v>
      </c>
      <c r="F57" s="105" t="s">
        <v>10</v>
      </c>
      <c r="G57" s="105" t="s">
        <v>10</v>
      </c>
      <c r="H57" s="105" t="s">
        <v>10</v>
      </c>
      <c r="I57" s="160">
        <v>443</v>
      </c>
      <c r="J57" s="193">
        <v>56526</v>
      </c>
      <c r="K57" s="171">
        <f>(26447406+31139628)/1000</f>
        <v>57587.034</v>
      </c>
      <c r="L57" s="171">
        <f>(24054527+28256423)/1000</f>
        <v>52310.95</v>
      </c>
      <c r="M57" s="281">
        <v>53888</v>
      </c>
      <c r="N57" s="281">
        <v>55063</v>
      </c>
      <c r="O57" s="281">
        <v>40609</v>
      </c>
      <c r="P57" s="281">
        <v>28870</v>
      </c>
      <c r="Q57" s="281">
        <v>56923</v>
      </c>
      <c r="R57" s="281">
        <v>52725</v>
      </c>
      <c r="S57" s="281">
        <v>62460</v>
      </c>
      <c r="T57" s="281">
        <f>19481+23620</f>
        <v>43101</v>
      </c>
      <c r="U57" s="406">
        <f>(R57+S57+T57)/3/8760</f>
        <v>6.0230593607305938</v>
      </c>
      <c r="V57" s="316">
        <f>(M57+N57+O57+P57+Q57)/5/8760</f>
        <v>5.3733561643835612</v>
      </c>
      <c r="W57" s="311">
        <f>(I57+J57+K57+L57)/4/8760</f>
        <v>4.762185616438356</v>
      </c>
      <c r="X57" s="306" t="s">
        <v>10</v>
      </c>
      <c r="Y57" s="306"/>
      <c r="Z57" s="160">
        <v>20</v>
      </c>
      <c r="AA57" s="160"/>
      <c r="AB57" s="319">
        <f>V57/Z57</f>
        <v>0.26866780821917807</v>
      </c>
      <c r="AC57" s="160"/>
      <c r="AD57" s="160"/>
      <c r="AE57" s="160"/>
    </row>
    <row r="58" spans="1:31">
      <c r="C58" s="274"/>
      <c r="D58" s="96"/>
      <c r="M58" s="281" t="s">
        <v>11</v>
      </c>
      <c r="N58" s="281"/>
      <c r="O58" s="281"/>
      <c r="P58" s="281"/>
      <c r="Q58" s="281"/>
      <c r="R58" s="281"/>
      <c r="S58" s="281"/>
      <c r="T58" s="281"/>
      <c r="U58" s="407"/>
      <c r="V58" s="316"/>
      <c r="W58" s="312"/>
      <c r="X58" s="275"/>
      <c r="Y58" s="275"/>
      <c r="AA58" s="160"/>
      <c r="AB58" s="160"/>
      <c r="AC58" s="160"/>
      <c r="AD58" s="160"/>
      <c r="AE58" s="160"/>
    </row>
    <row r="59" spans="1:31">
      <c r="A59" s="164" t="s">
        <v>224</v>
      </c>
      <c r="C59" s="279"/>
      <c r="D59" s="105"/>
      <c r="E59" s="105"/>
      <c r="F59" s="105"/>
      <c r="G59" s="105"/>
      <c r="U59" s="276"/>
      <c r="V59" s="316"/>
      <c r="W59" s="313"/>
      <c r="X59" s="275"/>
      <c r="Y59" s="275"/>
    </row>
    <row r="60" spans="1:31" ht="15">
      <c r="B60" s="160" t="s">
        <v>225</v>
      </c>
      <c r="C60" s="279" t="s">
        <v>10</v>
      </c>
      <c r="D60" s="105" t="s">
        <v>10</v>
      </c>
      <c r="E60" s="105" t="s">
        <v>10</v>
      </c>
      <c r="F60" s="105" t="s">
        <v>10</v>
      </c>
      <c r="G60" s="105" t="s">
        <v>10</v>
      </c>
      <c r="H60" s="105" t="s">
        <v>10</v>
      </c>
      <c r="I60" s="105" t="s">
        <v>10</v>
      </c>
      <c r="J60" s="193">
        <v>7966</v>
      </c>
      <c r="K60" s="171">
        <f>11983829/1000</f>
        <v>11983.829</v>
      </c>
      <c r="L60" s="171">
        <v>8975</v>
      </c>
      <c r="M60" s="281">
        <v>10394.505999999999</v>
      </c>
      <c r="N60" s="281">
        <v>13710</v>
      </c>
      <c r="O60" s="281">
        <v>15210</v>
      </c>
      <c r="P60" s="281">
        <v>13786</v>
      </c>
      <c r="Q60" s="281">
        <v>14657</v>
      </c>
      <c r="R60" s="281">
        <v>10975</v>
      </c>
      <c r="S60" s="281" t="s">
        <v>448</v>
      </c>
      <c r="T60" s="281">
        <v>10960</v>
      </c>
      <c r="U60" s="406">
        <f>(R60)/8760</f>
        <v>1.2528538812785388</v>
      </c>
      <c r="V60" s="316">
        <f>(M60+N60+O60+P60+Q60)/5/8760</f>
        <v>1.5469750228310502</v>
      </c>
      <c r="W60" s="311">
        <f>(J60+K60+L60)/5/8760</f>
        <v>0.66038422374429218</v>
      </c>
      <c r="X60" s="306" t="s">
        <v>10</v>
      </c>
      <c r="Y60" s="306"/>
      <c r="Z60" s="160">
        <v>2</v>
      </c>
      <c r="AB60" s="319">
        <f>V60/Z60</f>
        <v>0.77348751141552508</v>
      </c>
    </row>
    <row r="61" spans="1:31" ht="15">
      <c r="C61" s="279"/>
      <c r="D61" s="105"/>
      <c r="E61" s="105"/>
      <c r="F61" s="105"/>
      <c r="G61" s="105"/>
      <c r="H61" s="105"/>
      <c r="I61" s="105"/>
      <c r="J61" s="193"/>
      <c r="K61" s="171"/>
      <c r="L61" s="171"/>
      <c r="M61" s="171"/>
      <c r="N61" s="171"/>
      <c r="O61" s="171"/>
      <c r="P61" s="171"/>
      <c r="Q61" s="171"/>
      <c r="R61" s="171"/>
      <c r="S61" s="171"/>
      <c r="T61" s="171"/>
      <c r="U61" s="408"/>
      <c r="V61" s="316"/>
      <c r="W61" s="311"/>
      <c r="X61" s="275"/>
      <c r="Y61" s="275"/>
    </row>
    <row r="62" spans="1:31" ht="15">
      <c r="A62" s="164" t="s">
        <v>249</v>
      </c>
      <c r="C62" s="279"/>
      <c r="D62" s="105"/>
      <c r="E62" s="105"/>
      <c r="F62" s="105"/>
      <c r="G62" s="105"/>
      <c r="H62" s="105"/>
      <c r="I62" s="105"/>
      <c r="J62" s="193"/>
      <c r="K62" s="171"/>
      <c r="L62" s="171"/>
      <c r="M62" s="171"/>
      <c r="N62" s="171"/>
      <c r="O62" s="171"/>
      <c r="P62" s="171"/>
      <c r="Q62" s="171"/>
      <c r="R62" s="171"/>
      <c r="S62" s="171"/>
      <c r="T62" s="171"/>
      <c r="U62" s="408"/>
      <c r="V62" s="316"/>
      <c r="W62" s="311"/>
      <c r="X62" s="275"/>
      <c r="Y62" s="275"/>
    </row>
    <row r="63" spans="1:31" ht="15">
      <c r="B63" s="160" t="s">
        <v>250</v>
      </c>
      <c r="C63" s="279" t="s">
        <v>10</v>
      </c>
      <c r="D63" s="105" t="s">
        <v>10</v>
      </c>
      <c r="E63" s="105" t="s">
        <v>10</v>
      </c>
      <c r="F63" s="105" t="s">
        <v>10</v>
      </c>
      <c r="G63" s="105" t="s">
        <v>10</v>
      </c>
      <c r="H63" s="105" t="s">
        <v>10</v>
      </c>
      <c r="I63" s="105" t="s">
        <v>10</v>
      </c>
      <c r="J63" s="105" t="s">
        <v>10</v>
      </c>
      <c r="K63" s="105" t="s">
        <v>10</v>
      </c>
      <c r="L63" s="171">
        <v>31605</v>
      </c>
      <c r="M63" s="277">
        <v>33312</v>
      </c>
      <c r="N63" s="277">
        <v>31550</v>
      </c>
      <c r="O63" s="277">
        <v>27581</v>
      </c>
      <c r="P63" s="277">
        <v>28490</v>
      </c>
      <c r="Q63" s="277">
        <v>33882</v>
      </c>
      <c r="R63" s="277">
        <v>27531</v>
      </c>
      <c r="S63" s="277">
        <v>29513</v>
      </c>
      <c r="T63" s="277">
        <v>25751</v>
      </c>
      <c r="U63" s="406">
        <f>(R63+S63+T63)/3/8760</f>
        <v>3.1504946727549465</v>
      </c>
      <c r="V63" s="316">
        <f>(M63+N63+O63+P63+Q63)/5/8760</f>
        <v>3.5345890410958902</v>
      </c>
      <c r="W63" s="311">
        <f>(L63)/8760</f>
        <v>3.6078767123287672</v>
      </c>
      <c r="X63" s="306" t="s">
        <v>10</v>
      </c>
      <c r="Y63" s="306"/>
      <c r="Z63" s="160">
        <v>10</v>
      </c>
      <c r="AB63" s="319">
        <f>V63/Z63</f>
        <v>0.35345890410958902</v>
      </c>
    </row>
    <row r="64" spans="1:31">
      <c r="B64" s="160" t="s">
        <v>251</v>
      </c>
      <c r="C64" s="279" t="s">
        <v>10</v>
      </c>
      <c r="D64" s="105" t="s">
        <v>10</v>
      </c>
      <c r="E64" s="105" t="s">
        <v>10</v>
      </c>
      <c r="F64" s="105" t="s">
        <v>10</v>
      </c>
      <c r="G64" s="105" t="s">
        <v>10</v>
      </c>
      <c r="H64" s="105" t="s">
        <v>10</v>
      </c>
      <c r="I64" s="105" t="s">
        <v>10</v>
      </c>
      <c r="J64" s="105" t="s">
        <v>10</v>
      </c>
      <c r="K64" s="105" t="s">
        <v>10</v>
      </c>
      <c r="L64" s="105" t="s">
        <v>10</v>
      </c>
      <c r="M64" s="437">
        <v>35357.550999999999</v>
      </c>
      <c r="N64" s="277">
        <v>82203</v>
      </c>
      <c r="O64" s="277">
        <v>79995</v>
      </c>
      <c r="P64" s="437">
        <v>82561</v>
      </c>
      <c r="Q64" s="437">
        <v>89848</v>
      </c>
      <c r="R64" s="437">
        <v>85334</v>
      </c>
      <c r="S64" s="437">
        <v>92243</v>
      </c>
      <c r="T64" s="160">
        <v>83725</v>
      </c>
      <c r="U64" s="406">
        <f>(R64+S64+T64)/3/8760</f>
        <v>9.9429984779299847</v>
      </c>
      <c r="V64" s="316">
        <f>(M64+N64+O64+P64+Q64)/5/8760</f>
        <v>8.4466792465753429</v>
      </c>
      <c r="W64" s="314" t="s">
        <v>10</v>
      </c>
      <c r="X64" s="306" t="s">
        <v>10</v>
      </c>
      <c r="Y64" s="306"/>
      <c r="Z64" s="160">
        <v>25</v>
      </c>
      <c r="AB64" s="319">
        <f>V64/Z64</f>
        <v>0.33786716986301374</v>
      </c>
    </row>
    <row r="65" spans="1:38">
      <c r="B65" s="160" t="s">
        <v>567</v>
      </c>
      <c r="C65" s="279"/>
      <c r="D65" s="105"/>
      <c r="E65" s="105"/>
      <c r="F65" s="105"/>
      <c r="G65" s="105"/>
      <c r="H65" s="105"/>
      <c r="I65" s="105"/>
      <c r="J65" s="105"/>
      <c r="K65" s="105"/>
      <c r="L65" s="105"/>
      <c r="M65" s="281"/>
      <c r="N65" s="277"/>
      <c r="O65" s="277"/>
      <c r="P65" s="281"/>
      <c r="Q65" s="281"/>
      <c r="R65" s="281"/>
      <c r="S65" s="281"/>
      <c r="T65" s="281">
        <v>154224</v>
      </c>
      <c r="U65" s="406">
        <f>T65/8760</f>
        <v>17.605479452054794</v>
      </c>
      <c r="V65" s="316"/>
      <c r="W65" s="314"/>
      <c r="X65" s="306"/>
      <c r="Y65" s="306"/>
      <c r="AB65" s="319"/>
    </row>
    <row r="66" spans="1:38">
      <c r="C66" s="274"/>
      <c r="D66" s="96"/>
      <c r="U66" s="276"/>
      <c r="V66" s="316"/>
      <c r="W66" s="312"/>
      <c r="X66" s="275"/>
      <c r="Y66" s="275"/>
    </row>
    <row r="67" spans="1:38">
      <c r="A67" s="164" t="s">
        <v>53</v>
      </c>
      <c r="C67" s="276"/>
      <c r="U67" s="276"/>
      <c r="V67" s="316"/>
      <c r="W67" s="312"/>
      <c r="X67" s="275"/>
      <c r="Y67" s="275"/>
    </row>
    <row r="68" spans="1:38" ht="15">
      <c r="B68" s="160" t="s">
        <v>84</v>
      </c>
      <c r="C68" s="276">
        <v>6262.299</v>
      </c>
      <c r="D68" s="160">
        <v>6605.4880000000003</v>
      </c>
      <c r="E68" s="91">
        <v>7598.4560000000001</v>
      </c>
      <c r="F68" s="91">
        <v>7342.7669999999998</v>
      </c>
      <c r="G68" s="91">
        <v>8614.4110000000001</v>
      </c>
      <c r="H68" s="91">
        <v>6026</v>
      </c>
      <c r="I68" s="91">
        <v>8183</v>
      </c>
      <c r="J68" s="193">
        <v>7444</v>
      </c>
      <c r="K68" s="171">
        <f>7753476/1000</f>
        <v>7753.4759999999997</v>
      </c>
      <c r="L68" s="171">
        <v>6859</v>
      </c>
      <c r="M68" s="281">
        <v>6242</v>
      </c>
      <c r="N68" s="281">
        <v>8107</v>
      </c>
      <c r="O68" s="281">
        <v>5321</v>
      </c>
      <c r="P68" s="281">
        <v>4271</v>
      </c>
      <c r="Q68" s="281">
        <v>4261</v>
      </c>
      <c r="R68" s="281">
        <v>2781</v>
      </c>
      <c r="S68" s="281" t="s">
        <v>448</v>
      </c>
      <c r="T68" s="281">
        <v>2908</v>
      </c>
      <c r="U68" s="406">
        <f>(R68)/8760</f>
        <v>0.31746575342465755</v>
      </c>
      <c r="V68" s="316">
        <f>(M68+N68+O68+P68+Q68)/5/8760</f>
        <v>0.64388127853881272</v>
      </c>
      <c r="W68" s="311">
        <f>(H68+I68+J68+K68+L68)/5/8760</f>
        <v>0.82797890410958885</v>
      </c>
      <c r="X68" s="275">
        <v>0.83158495433789958</v>
      </c>
      <c r="Y68" s="275"/>
      <c r="Z68" s="160">
        <v>1.2</v>
      </c>
      <c r="AB68" s="319">
        <f>V68/Z68</f>
        <v>0.53656773211567732</v>
      </c>
    </row>
    <row r="69" spans="1:38">
      <c r="C69" s="274"/>
      <c r="D69" s="96"/>
      <c r="U69" s="276"/>
      <c r="V69" s="316"/>
      <c r="W69" s="312"/>
      <c r="X69" s="275"/>
      <c r="Y69" s="275"/>
    </row>
    <row r="70" spans="1:38">
      <c r="A70" s="102" t="s">
        <v>85</v>
      </c>
      <c r="C70" s="274"/>
      <c r="U70" s="276"/>
      <c r="V70" s="316"/>
      <c r="W70" s="312"/>
      <c r="X70" s="275"/>
      <c r="Y70" s="275"/>
    </row>
    <row r="71" spans="1:38" ht="15">
      <c r="B71" s="96" t="s">
        <v>86</v>
      </c>
      <c r="C71" s="276">
        <v>439727</v>
      </c>
      <c r="D71" s="174">
        <v>486847</v>
      </c>
      <c r="E71" s="174">
        <v>500828</v>
      </c>
      <c r="F71" s="160">
        <v>456985</v>
      </c>
      <c r="G71" s="91">
        <v>414002</v>
      </c>
      <c r="H71" s="91">
        <v>511361</v>
      </c>
      <c r="I71" s="91">
        <v>461372</v>
      </c>
      <c r="J71" s="91">
        <v>507969</v>
      </c>
      <c r="K71" s="91">
        <v>489637</v>
      </c>
      <c r="L71" s="91">
        <v>455350</v>
      </c>
      <c r="M71" s="277">
        <v>481097</v>
      </c>
      <c r="N71" s="277">
        <v>450729</v>
      </c>
      <c r="O71" s="277">
        <v>429673</v>
      </c>
      <c r="P71" s="277">
        <v>441562</v>
      </c>
      <c r="Q71" s="277">
        <v>517396</v>
      </c>
      <c r="R71" s="277">
        <v>460098</v>
      </c>
      <c r="S71" s="277">
        <v>503318</v>
      </c>
      <c r="T71" s="277">
        <v>409029</v>
      </c>
      <c r="U71" s="406">
        <f>(R71+S71+T71)/3/8760</f>
        <v>52.223934550989348</v>
      </c>
      <c r="V71" s="316">
        <f>(M71+N71+O71+P71+Q71)/5/8760</f>
        <v>52.978470319634702</v>
      </c>
      <c r="W71" s="311">
        <f>(H71+I71+J71+K71+L71)/5/8760</f>
        <v>55.381027397260276</v>
      </c>
      <c r="X71" s="275">
        <v>52.474634703196344</v>
      </c>
      <c r="Y71" s="275"/>
      <c r="Z71" s="160">
        <v>135</v>
      </c>
      <c r="AB71" s="319">
        <f>V71/Z71</f>
        <v>0.39243311347877557</v>
      </c>
      <c r="AG71" s="96"/>
      <c r="AH71" s="96"/>
      <c r="AI71" s="96"/>
      <c r="AJ71" s="96"/>
      <c r="AK71" s="96"/>
      <c r="AL71" s="96"/>
    </row>
    <row r="72" spans="1:38" ht="15">
      <c r="C72" s="276"/>
      <c r="D72" s="174"/>
      <c r="E72" s="174"/>
      <c r="U72" s="276"/>
      <c r="V72" s="316"/>
      <c r="W72" s="312"/>
      <c r="X72" s="275"/>
      <c r="Y72" s="275"/>
      <c r="AG72" s="96"/>
      <c r="AH72" s="96"/>
      <c r="AI72" s="96"/>
      <c r="AJ72" s="96"/>
      <c r="AK72" s="96"/>
      <c r="AL72" s="96"/>
    </row>
    <row r="73" spans="1:38">
      <c r="A73" s="164" t="s">
        <v>55</v>
      </c>
      <c r="C73" s="274"/>
      <c r="D73" s="96"/>
      <c r="U73" s="276"/>
      <c r="V73" s="316"/>
      <c r="W73" s="312"/>
      <c r="X73" s="275"/>
      <c r="Y73" s="275"/>
      <c r="AE73" s="160"/>
      <c r="AH73" s="96"/>
      <c r="AI73" s="96"/>
      <c r="AJ73" s="96"/>
      <c r="AK73" s="96"/>
      <c r="AL73" s="96"/>
    </row>
    <row r="74" spans="1:38">
      <c r="B74" s="96" t="s">
        <v>87</v>
      </c>
      <c r="C74" s="279" t="s">
        <v>10</v>
      </c>
      <c r="D74" s="160">
        <v>16</v>
      </c>
      <c r="E74" s="91">
        <v>64997</v>
      </c>
      <c r="F74" s="91">
        <v>67691</v>
      </c>
      <c r="G74" s="91">
        <v>67902</v>
      </c>
      <c r="H74" s="91">
        <v>98867</v>
      </c>
      <c r="I74" s="91">
        <v>90956</v>
      </c>
      <c r="J74" s="91">
        <v>93175</v>
      </c>
      <c r="K74" s="91">
        <v>96534</v>
      </c>
      <c r="L74" s="91">
        <v>89144</v>
      </c>
      <c r="M74" s="277">
        <v>100119</v>
      </c>
      <c r="N74" s="277">
        <v>93502</v>
      </c>
      <c r="O74" s="277">
        <v>85815</v>
      </c>
      <c r="P74" s="277">
        <v>94948</v>
      </c>
      <c r="Q74" s="277">
        <v>98541</v>
      </c>
      <c r="R74" s="277">
        <v>92522</v>
      </c>
      <c r="S74" s="277">
        <v>90872</v>
      </c>
      <c r="T74" s="277">
        <v>82375</v>
      </c>
      <c r="U74" s="406">
        <f>(R74+S74+T74)/3/8760</f>
        <v>10.112975646879757</v>
      </c>
      <c r="V74" s="316">
        <f>(M74+N74+O74+P74+Q74)/5/8760</f>
        <v>10.797374429223744</v>
      </c>
      <c r="W74" s="311">
        <f>(H74+I74+J74+K74+L74)/5/8760</f>
        <v>10.700365296803653</v>
      </c>
      <c r="X74" s="275">
        <v>5.7250570776255705</v>
      </c>
      <c r="Y74" s="275"/>
      <c r="Z74" s="160">
        <v>30</v>
      </c>
      <c r="AB74" s="319">
        <f>V74/Z74</f>
        <v>0.35991248097412482</v>
      </c>
      <c r="AE74" s="160"/>
      <c r="AH74" s="96"/>
      <c r="AI74" s="96"/>
      <c r="AJ74" s="96"/>
      <c r="AK74" s="96"/>
      <c r="AL74" s="96"/>
    </row>
    <row r="75" spans="1:38">
      <c r="B75" s="160" t="s">
        <v>88</v>
      </c>
      <c r="C75" s="276">
        <v>6512</v>
      </c>
      <c r="D75" s="160">
        <v>12686.999</v>
      </c>
      <c r="E75" s="91">
        <v>3218.0000000000005</v>
      </c>
      <c r="F75" s="91">
        <v>1949</v>
      </c>
      <c r="G75" s="91">
        <v>6978</v>
      </c>
      <c r="H75" s="91">
        <v>15402</v>
      </c>
      <c r="I75" s="91">
        <v>10592</v>
      </c>
      <c r="J75" s="91">
        <v>1602</v>
      </c>
      <c r="K75" s="91">
        <v>815</v>
      </c>
      <c r="L75" s="91">
        <v>1212</v>
      </c>
      <c r="M75" s="91">
        <v>6277</v>
      </c>
      <c r="N75" s="91">
        <v>1953</v>
      </c>
      <c r="O75" s="91">
        <v>1814</v>
      </c>
      <c r="P75" s="91">
        <v>1478</v>
      </c>
      <c r="Q75" s="91">
        <v>853</v>
      </c>
      <c r="R75" s="91">
        <v>14863</v>
      </c>
      <c r="S75" s="91">
        <v>1080</v>
      </c>
      <c r="T75" s="91">
        <v>2727</v>
      </c>
      <c r="U75" s="406">
        <f>(R75+S75+T75)/3/8760</f>
        <v>0.7104261796042618</v>
      </c>
      <c r="V75" s="316">
        <f>(M75+N75+O75+P75+Q75)/5/8760</f>
        <v>0.28253424657534248</v>
      </c>
      <c r="W75" s="311">
        <f>(H75+I75+J75+K75+L75)/5/8760</f>
        <v>0.67632420091324208</v>
      </c>
      <c r="X75" s="275">
        <v>0.71561641552511412</v>
      </c>
      <c r="Y75" s="275"/>
      <c r="Z75" s="160">
        <v>83.7</v>
      </c>
      <c r="AB75" s="319">
        <f>V75/Z75</f>
        <v>3.3755585014975205E-3</v>
      </c>
      <c r="AE75" s="160"/>
      <c r="AH75" s="96"/>
      <c r="AI75" s="96"/>
      <c r="AJ75" s="96"/>
      <c r="AK75" s="96"/>
      <c r="AL75" s="96"/>
    </row>
    <row r="76" spans="1:38" ht="14.25">
      <c r="B76" s="160" t="s">
        <v>473</v>
      </c>
      <c r="C76" s="276">
        <v>336937</v>
      </c>
      <c r="D76" s="160">
        <v>314675</v>
      </c>
      <c r="E76" s="91">
        <v>331504</v>
      </c>
      <c r="F76" s="91">
        <v>316534</v>
      </c>
      <c r="G76" s="91">
        <v>315370.99999999994</v>
      </c>
      <c r="H76" s="91">
        <v>300792</v>
      </c>
      <c r="I76" s="91">
        <v>253208</v>
      </c>
      <c r="J76" s="91">
        <v>298318.98</v>
      </c>
      <c r="K76" s="91">
        <v>290193</v>
      </c>
      <c r="L76" s="91">
        <v>222191</v>
      </c>
      <c r="M76" s="91">
        <v>272977</v>
      </c>
      <c r="N76" s="91">
        <v>230290</v>
      </c>
      <c r="O76" s="91">
        <v>242808</v>
      </c>
      <c r="P76" s="91">
        <v>263459</v>
      </c>
      <c r="Q76" s="91">
        <v>232285</v>
      </c>
      <c r="R76" s="91">
        <v>66931</v>
      </c>
      <c r="S76" s="91">
        <v>0</v>
      </c>
      <c r="T76" s="91">
        <v>20889</v>
      </c>
      <c r="U76" s="406">
        <f>(R76+T76)/2/8760</f>
        <v>5.012557077625571</v>
      </c>
      <c r="V76" s="316">
        <f>(M76+N76+O76+P76+Q76)/5/8760</f>
        <v>28.352031963470317</v>
      </c>
      <c r="W76" s="311">
        <f>(H76+I76+J76+K76+L76)/5/8760</f>
        <v>31.157602283105025</v>
      </c>
      <c r="X76" s="275">
        <v>36.872625570776258</v>
      </c>
      <c r="Y76" s="275"/>
      <c r="Z76" s="160">
        <v>68.599999999999994</v>
      </c>
      <c r="AB76" s="319">
        <f>V76/Z76</f>
        <v>0.41329492658119998</v>
      </c>
      <c r="AD76" s="160"/>
      <c r="AH76" s="96"/>
      <c r="AI76" s="96"/>
      <c r="AJ76" s="96"/>
      <c r="AK76" s="96"/>
      <c r="AL76" s="96"/>
    </row>
    <row r="77" spans="1:38">
      <c r="B77" s="160" t="s">
        <v>90</v>
      </c>
      <c r="C77" s="276">
        <v>1648</v>
      </c>
      <c r="D77" s="160">
        <v>2623.002</v>
      </c>
      <c r="E77" s="91">
        <v>369</v>
      </c>
      <c r="F77" s="91">
        <v>-28</v>
      </c>
      <c r="G77" s="91">
        <v>1021</v>
      </c>
      <c r="H77" s="91">
        <v>218</v>
      </c>
      <c r="I77" s="91">
        <v>1573</v>
      </c>
      <c r="J77" s="91">
        <v>-1</v>
      </c>
      <c r="K77" s="91">
        <v>124</v>
      </c>
      <c r="L77" s="91">
        <v>444</v>
      </c>
      <c r="M77" s="91">
        <v>712</v>
      </c>
      <c r="N77" s="91">
        <v>353</v>
      </c>
      <c r="O77" s="91">
        <v>150</v>
      </c>
      <c r="P77" s="91">
        <v>236</v>
      </c>
      <c r="Q77" s="91">
        <v>238</v>
      </c>
      <c r="R77" s="91">
        <v>2880</v>
      </c>
      <c r="S77" s="91">
        <v>464</v>
      </c>
      <c r="T77" s="91">
        <v>312</v>
      </c>
      <c r="U77" s="406">
        <f>(R77+S77+T77)/3/8760</f>
        <v>0.13911719939117201</v>
      </c>
      <c r="V77" s="316">
        <f>(M77+N77+O77+P77+Q77)/5/8760</f>
        <v>3.8561643835616437E-2</v>
      </c>
      <c r="W77" s="311">
        <f>(H77+I77+J77+K77+L77)/5/8760</f>
        <v>5.3835616438356167E-2</v>
      </c>
      <c r="X77" s="275">
        <v>0.12860735159817352</v>
      </c>
      <c r="Y77" s="275"/>
      <c r="Z77" s="160">
        <v>23.3</v>
      </c>
      <c r="AB77" s="319">
        <f>V77/Z77</f>
        <v>1.6550061732024221E-3</v>
      </c>
      <c r="AD77" s="160"/>
      <c r="AE77" s="160"/>
    </row>
    <row r="78" spans="1:38">
      <c r="C78" s="276"/>
      <c r="U78" s="276"/>
      <c r="V78" s="316"/>
      <c r="W78" s="312"/>
      <c r="X78" s="275"/>
      <c r="Y78" s="275"/>
      <c r="AD78" s="160"/>
      <c r="AE78" s="160"/>
    </row>
    <row r="79" spans="1:38">
      <c r="A79" s="164" t="s">
        <v>91</v>
      </c>
      <c r="C79" s="274"/>
      <c r="D79" s="96"/>
      <c r="U79" s="276"/>
      <c r="V79" s="316"/>
      <c r="W79" s="312"/>
      <c r="X79" s="275"/>
      <c r="Y79" s="275"/>
      <c r="AD79" s="160"/>
      <c r="AE79" s="160"/>
    </row>
    <row r="80" spans="1:38">
      <c r="B80" s="160" t="s">
        <v>92</v>
      </c>
      <c r="C80" s="276">
        <v>48249.048000000003</v>
      </c>
      <c r="D80" s="160">
        <v>44982.093999999997</v>
      </c>
      <c r="E80" s="91">
        <v>46134.267</v>
      </c>
      <c r="F80" s="91">
        <v>52729.671000000002</v>
      </c>
      <c r="G80" s="91">
        <v>52843.103000000003</v>
      </c>
      <c r="H80" s="91">
        <v>53536</v>
      </c>
      <c r="I80" s="91">
        <v>53500</v>
      </c>
      <c r="J80" s="193">
        <v>45253</v>
      </c>
      <c r="K80" s="193">
        <v>52101</v>
      </c>
      <c r="L80" s="193">
        <v>47289</v>
      </c>
      <c r="M80" s="277">
        <v>48339</v>
      </c>
      <c r="N80" s="277">
        <v>52898</v>
      </c>
      <c r="O80" s="277">
        <v>29691</v>
      </c>
      <c r="P80" s="277">
        <v>54910</v>
      </c>
      <c r="Q80" s="277">
        <v>52394</v>
      </c>
      <c r="R80" s="277">
        <v>21280</v>
      </c>
      <c r="S80" s="277">
        <v>39480</v>
      </c>
      <c r="T80" s="277">
        <v>39316</v>
      </c>
      <c r="U80" s="406">
        <f>(R80+S80+T80)/3/8760</f>
        <v>3.8080669710806694</v>
      </c>
      <c r="V80" s="316">
        <f>(M80+N80+O80+P80+Q80)/5/8760</f>
        <v>5.4390867579908679</v>
      </c>
      <c r="W80" s="311">
        <f>(H80+I80+J80+K80+L80)/5/8760</f>
        <v>5.7460958904109596</v>
      </c>
      <c r="X80" s="275">
        <v>5.5921959589041093</v>
      </c>
      <c r="Y80" s="275"/>
      <c r="Z80" s="160">
        <v>10</v>
      </c>
      <c r="AB80" s="319">
        <f>V80/Z80</f>
        <v>0.54390867579908675</v>
      </c>
      <c r="AD80" s="160"/>
      <c r="AE80" s="160"/>
    </row>
    <row r="81" spans="1:31">
      <c r="C81" s="276"/>
      <c r="U81" s="276"/>
      <c r="V81" s="316"/>
      <c r="W81" s="312"/>
      <c r="X81" s="275"/>
      <c r="Y81" s="275"/>
      <c r="AD81" s="160"/>
      <c r="AE81" s="160"/>
    </row>
    <row r="82" spans="1:31">
      <c r="A82" s="164" t="s">
        <v>447</v>
      </c>
      <c r="C82" s="276"/>
      <c r="U82" s="276"/>
      <c r="V82" s="316"/>
      <c r="W82" s="312"/>
      <c r="X82" s="275"/>
      <c r="Y82" s="275"/>
      <c r="AD82" s="160"/>
      <c r="AE82" s="160"/>
    </row>
    <row r="83" spans="1:31">
      <c r="B83" s="160" t="s">
        <v>570</v>
      </c>
      <c r="C83" s="279" t="s">
        <v>10</v>
      </c>
      <c r="D83" s="105" t="s">
        <v>10</v>
      </c>
      <c r="E83" s="105" t="s">
        <v>10</v>
      </c>
      <c r="F83" s="105" t="s">
        <v>10</v>
      </c>
      <c r="G83" s="105" t="s">
        <v>10</v>
      </c>
      <c r="H83" s="105" t="s">
        <v>10</v>
      </c>
      <c r="I83" s="105" t="s">
        <v>10</v>
      </c>
      <c r="J83" s="105" t="s">
        <v>10</v>
      </c>
      <c r="K83" s="105" t="s">
        <v>10</v>
      </c>
      <c r="L83" s="105" t="s">
        <v>10</v>
      </c>
      <c r="M83" s="105" t="s">
        <v>10</v>
      </c>
      <c r="N83" s="105" t="s">
        <v>10</v>
      </c>
      <c r="O83" s="105" t="s">
        <v>10</v>
      </c>
      <c r="P83" s="105" t="s">
        <v>10</v>
      </c>
      <c r="Q83" s="105" t="s">
        <v>10</v>
      </c>
      <c r="R83" s="105" t="s">
        <v>10</v>
      </c>
      <c r="S83" s="160">
        <v>212170</v>
      </c>
      <c r="T83" s="440">
        <v>1315806</v>
      </c>
      <c r="U83" s="406">
        <f>(S83+T83)/2/8760</f>
        <v>87.213242009132415</v>
      </c>
      <c r="V83" s="316"/>
      <c r="W83" s="312"/>
      <c r="X83" s="275"/>
      <c r="Y83" s="275"/>
      <c r="AD83" s="160"/>
      <c r="AE83" s="160"/>
    </row>
    <row r="84" spans="1:31">
      <c r="B84" s="160" t="s">
        <v>571</v>
      </c>
      <c r="C84" s="279"/>
      <c r="D84" s="105"/>
      <c r="E84" s="105"/>
      <c r="F84" s="105"/>
      <c r="G84" s="105"/>
      <c r="H84" s="105"/>
      <c r="I84" s="105"/>
      <c r="J84" s="105"/>
      <c r="K84" s="105"/>
      <c r="L84" s="105"/>
      <c r="M84" s="105"/>
      <c r="N84" s="105"/>
      <c r="O84" s="105"/>
      <c r="P84" s="105"/>
      <c r="Q84" s="105"/>
      <c r="R84" s="105"/>
      <c r="T84" s="440">
        <v>30267</v>
      </c>
      <c r="U84" s="406">
        <f>T84/8760</f>
        <v>3.4551369863013699</v>
      </c>
      <c r="V84" s="316"/>
      <c r="W84" s="312"/>
      <c r="X84" s="275"/>
      <c r="Y84" s="275"/>
      <c r="AD84" s="160"/>
      <c r="AE84" s="160"/>
    </row>
    <row r="85" spans="1:31">
      <c r="C85" s="276"/>
      <c r="U85" s="276"/>
      <c r="V85" s="316"/>
      <c r="W85" s="312"/>
      <c r="X85" s="275"/>
      <c r="Y85" s="275"/>
      <c r="AD85" s="160"/>
      <c r="AE85" s="160"/>
    </row>
    <row r="86" spans="1:31">
      <c r="A86" s="164" t="s">
        <v>58</v>
      </c>
      <c r="C86" s="274"/>
      <c r="D86" s="96"/>
      <c r="U86" s="276"/>
      <c r="V86" s="316"/>
      <c r="W86" s="312"/>
      <c r="X86" s="275"/>
      <c r="Y86" s="275"/>
      <c r="AD86" s="160"/>
      <c r="AE86" s="160"/>
    </row>
    <row r="87" spans="1:31">
      <c r="B87" s="160" t="s">
        <v>327</v>
      </c>
      <c r="C87" s="276">
        <v>27072.5</v>
      </c>
      <c r="D87" s="160">
        <v>27406.400000000001</v>
      </c>
      <c r="E87" s="160">
        <v>23102.2</v>
      </c>
      <c r="F87" s="160">
        <v>21887.5</v>
      </c>
      <c r="G87" s="160">
        <v>22635.599999999999</v>
      </c>
      <c r="H87" s="160">
        <v>30822</v>
      </c>
      <c r="I87" s="176">
        <v>30591</v>
      </c>
      <c r="J87" s="176">
        <v>28028</v>
      </c>
      <c r="K87" s="176">
        <v>29098</v>
      </c>
      <c r="L87" s="176">
        <v>22095</v>
      </c>
      <c r="M87" s="176">
        <v>30288</v>
      </c>
      <c r="N87" s="176">
        <v>27940</v>
      </c>
      <c r="O87" s="176">
        <v>27940</v>
      </c>
      <c r="P87" s="176">
        <v>15888</v>
      </c>
      <c r="Q87" s="176">
        <v>19845</v>
      </c>
      <c r="R87" s="176">
        <v>22091</v>
      </c>
      <c r="S87" s="176">
        <v>23335</v>
      </c>
      <c r="T87" s="440">
        <v>12181</v>
      </c>
      <c r="U87" s="406">
        <f>(R87+S87+T87)/3/8760</f>
        <v>2.1920471841704718</v>
      </c>
      <c r="V87" s="316">
        <f>(M87+N87+O87+P87+Q87)/5/8760</f>
        <v>2.7831278538812785</v>
      </c>
      <c r="W87" s="311">
        <f>(H87+I87+J87+K87+L87)/5/8760</f>
        <v>3.2108219178082189</v>
      </c>
      <c r="X87" s="275">
        <v>2.7877671232876717</v>
      </c>
      <c r="Y87" s="275"/>
      <c r="Z87" s="160">
        <v>4.5</v>
      </c>
      <c r="AB87" s="319">
        <f>V87/Z87</f>
        <v>0.61847285641806193</v>
      </c>
      <c r="AD87" s="160"/>
      <c r="AE87" s="160"/>
    </row>
    <row r="88" spans="1:31">
      <c r="C88" s="276"/>
      <c r="U88" s="276"/>
      <c r="V88" s="316"/>
      <c r="W88" s="312"/>
      <c r="X88" s="275"/>
      <c r="Y88" s="275"/>
      <c r="AD88" s="160"/>
      <c r="AE88" s="160"/>
    </row>
    <row r="89" spans="1:31">
      <c r="A89" s="164" t="s">
        <v>93</v>
      </c>
      <c r="C89" s="276"/>
      <c r="U89" s="276"/>
      <c r="V89" s="316"/>
      <c r="W89" s="312"/>
      <c r="X89" s="275"/>
      <c r="Y89" s="275"/>
      <c r="AD89" s="160"/>
      <c r="AE89" s="160"/>
    </row>
    <row r="90" spans="1:31" ht="14.25">
      <c r="B90" s="312" t="s">
        <v>417</v>
      </c>
      <c r="C90" s="160">
        <f>C130*(222/2094)</f>
        <v>1565317.229226361</v>
      </c>
      <c r="D90" s="160">
        <f>D130*(222/2094)</f>
        <v>1679321.5444126073</v>
      </c>
      <c r="E90" s="160">
        <f>E130*(222/2094)</f>
        <v>1705472.0627191977</v>
      </c>
      <c r="F90" s="160">
        <f>F130*(222/2094)</f>
        <v>1394653.8280802292</v>
      </c>
      <c r="G90" s="160">
        <f t="shared" ref="G90:P90" si="3">G130*(222/2094)</f>
        <v>1718735.9799426934</v>
      </c>
      <c r="H90" s="160">
        <f t="shared" si="3"/>
        <v>1380897.1432664755</v>
      </c>
      <c r="I90" s="160">
        <f t="shared" si="3"/>
        <v>1297587.3689713466</v>
      </c>
      <c r="J90" s="160">
        <f t="shared" si="3"/>
        <v>1349290.9799426934</v>
      </c>
      <c r="K90" s="160">
        <f t="shared" si="3"/>
        <v>1454079.1146131805</v>
      </c>
      <c r="L90" s="160">
        <f t="shared" si="3"/>
        <v>1573748.3524355299</v>
      </c>
      <c r="M90" s="160">
        <f t="shared" si="3"/>
        <v>1416247.1977077364</v>
      </c>
      <c r="N90" s="160">
        <f t="shared" si="3"/>
        <v>1414056.6704871061</v>
      </c>
      <c r="O90" s="160">
        <f t="shared" si="3"/>
        <v>1341825.8853868195</v>
      </c>
      <c r="P90" s="160">
        <f t="shared" si="3"/>
        <v>1421444.7965616046</v>
      </c>
      <c r="Q90" s="160">
        <f>Q130*(222/1480)</f>
        <v>1190275.5</v>
      </c>
      <c r="R90" s="160">
        <f>R130*(222/1480)</f>
        <v>1501549.8</v>
      </c>
      <c r="S90" s="160">
        <f>S130*(222/1480)</f>
        <v>1629068.0999999999</v>
      </c>
      <c r="T90" s="160">
        <f>T130*(222/1480)</f>
        <v>1623066.5999999999</v>
      </c>
      <c r="U90" s="406">
        <f t="shared" ref="U90:U104" si="4">(R90+S90+T90)/3/8760</f>
        <v>180.88601598173517</v>
      </c>
      <c r="V90" s="316">
        <f>(M90+N90+O90+P90+Q90)/5/8760</f>
        <v>154.88242123614765</v>
      </c>
      <c r="W90" s="316">
        <f>(N90+O90+P90+Q90+R90)/5/8760</f>
        <v>156.8299692336879</v>
      </c>
      <c r="X90" s="316">
        <f>(O90+P90+Q90+R90+V90)/5/8760</f>
        <v>124.54910649245801</v>
      </c>
      <c r="Y90" s="275"/>
      <c r="AD90" s="160"/>
      <c r="AE90" s="160"/>
    </row>
    <row r="91" spans="1:31">
      <c r="B91" s="160" t="s">
        <v>94</v>
      </c>
      <c r="C91" s="279" t="s">
        <v>10</v>
      </c>
      <c r="D91" s="105" t="s">
        <v>10</v>
      </c>
      <c r="E91" s="105" t="s">
        <v>10</v>
      </c>
      <c r="F91" s="105" t="s">
        <v>10</v>
      </c>
      <c r="G91" s="105" t="s">
        <v>10</v>
      </c>
      <c r="H91" s="160">
        <v>329266</v>
      </c>
      <c r="I91" s="160">
        <v>361722.49</v>
      </c>
      <c r="J91" s="160">
        <v>445151.38</v>
      </c>
      <c r="K91" s="176">
        <v>412387</v>
      </c>
      <c r="L91" s="176">
        <v>427708</v>
      </c>
      <c r="M91" s="176">
        <v>262921</v>
      </c>
      <c r="N91" s="176">
        <v>251273</v>
      </c>
      <c r="O91" s="176">
        <v>220857</v>
      </c>
      <c r="P91" s="176">
        <v>226742</v>
      </c>
      <c r="Q91" s="176">
        <v>179322</v>
      </c>
      <c r="R91" s="176">
        <v>263571</v>
      </c>
      <c r="S91" s="176">
        <v>406019</v>
      </c>
      <c r="T91" s="176">
        <v>547467</v>
      </c>
      <c r="U91" s="406">
        <f t="shared" si="4"/>
        <v>46.311149162861497</v>
      </c>
      <c r="V91" s="316">
        <f t="shared" ref="V91:V96" si="5">(M91+N91+O91+P91+Q91)/5/8760</f>
        <v>26.052853881278537</v>
      </c>
      <c r="W91" s="311">
        <f>(H91+I91+J91+K91+L91)/5/8760</f>
        <v>45.119517579908681</v>
      </c>
      <c r="X91" s="278" t="s">
        <v>10</v>
      </c>
      <c r="Y91" s="278"/>
      <c r="Z91" s="160">
        <v>150</v>
      </c>
      <c r="AB91" s="319">
        <f t="shared" ref="AB91:AB104" si="6">V91/Z91</f>
        <v>0.17368569254185692</v>
      </c>
      <c r="AD91" s="160"/>
      <c r="AE91" s="160"/>
    </row>
    <row r="92" spans="1:31">
      <c r="B92" s="160" t="s">
        <v>149</v>
      </c>
      <c r="C92" s="279" t="s">
        <v>10</v>
      </c>
      <c r="D92" s="105" t="s">
        <v>10</v>
      </c>
      <c r="E92" s="105" t="s">
        <v>10</v>
      </c>
      <c r="F92" s="105" t="s">
        <v>10</v>
      </c>
      <c r="G92" s="105" t="s">
        <v>10</v>
      </c>
      <c r="H92" s="105" t="s">
        <v>10</v>
      </c>
      <c r="I92" s="160">
        <v>42647</v>
      </c>
      <c r="J92" s="160">
        <v>144110</v>
      </c>
      <c r="K92" s="160">
        <v>136350</v>
      </c>
      <c r="L92" s="160">
        <v>127626</v>
      </c>
      <c r="M92" s="277">
        <v>130661</v>
      </c>
      <c r="N92" s="277">
        <v>131182</v>
      </c>
      <c r="O92" s="277">
        <v>124402</v>
      </c>
      <c r="P92" s="277">
        <v>120862</v>
      </c>
      <c r="Q92" s="277">
        <v>145990</v>
      </c>
      <c r="R92" s="277">
        <v>118040</v>
      </c>
      <c r="S92" s="277">
        <v>120949</v>
      </c>
      <c r="T92" s="277">
        <v>112505</v>
      </c>
      <c r="U92" s="406">
        <f t="shared" si="4"/>
        <v>13.37496194824962</v>
      </c>
      <c r="V92" s="316">
        <f t="shared" si="5"/>
        <v>14.910890410958903</v>
      </c>
      <c r="W92" s="311">
        <f>(I92+J92+K92+L92)/4/8760</f>
        <v>12.863384703196347</v>
      </c>
      <c r="X92" s="306" t="s">
        <v>10</v>
      </c>
      <c r="Y92" s="306"/>
      <c r="Z92" s="160">
        <v>40</v>
      </c>
      <c r="AB92" s="319">
        <f t="shared" si="6"/>
        <v>0.37277226027397259</v>
      </c>
      <c r="AD92" s="160"/>
      <c r="AE92" s="160"/>
    </row>
    <row r="93" spans="1:31">
      <c r="B93" s="160" t="s">
        <v>98</v>
      </c>
      <c r="C93" s="276">
        <v>136211.00099999999</v>
      </c>
      <c r="D93" s="160">
        <v>124084.001</v>
      </c>
      <c r="E93" s="91">
        <v>126199</v>
      </c>
      <c r="F93" s="91">
        <v>142590</v>
      </c>
      <c r="G93" s="91">
        <v>141584</v>
      </c>
      <c r="H93" s="91">
        <v>147040</v>
      </c>
      <c r="I93" s="91">
        <v>120683</v>
      </c>
      <c r="J93" s="91">
        <v>109985</v>
      </c>
      <c r="K93" s="160">
        <v>135355</v>
      </c>
      <c r="L93" s="160">
        <v>127279</v>
      </c>
      <c r="M93" s="277">
        <v>118288</v>
      </c>
      <c r="N93" s="277">
        <v>126346</v>
      </c>
      <c r="O93" s="277">
        <v>138717</v>
      </c>
      <c r="P93" s="277">
        <v>142208</v>
      </c>
      <c r="Q93" s="277">
        <v>118136</v>
      </c>
      <c r="R93" s="277">
        <v>99810</v>
      </c>
      <c r="S93" s="277">
        <v>98099</v>
      </c>
      <c r="T93" s="277">
        <v>121484</v>
      </c>
      <c r="U93" s="406">
        <f t="shared" si="4"/>
        <v>12.153462709284627</v>
      </c>
      <c r="V93" s="316">
        <f t="shared" si="5"/>
        <v>14.69623287671233</v>
      </c>
      <c r="W93" s="311">
        <f t="shared" ref="W93:W102" si="7">(H93+I93+J93+K93+L93)/5/8760</f>
        <v>14.619680365296803</v>
      </c>
      <c r="X93" s="275">
        <v>15.312054840182649</v>
      </c>
      <c r="Y93" s="275"/>
      <c r="Z93" s="160">
        <v>21</v>
      </c>
      <c r="AB93" s="319">
        <f t="shared" si="6"/>
        <v>0.69982061317677757</v>
      </c>
      <c r="AE93" s="160"/>
    </row>
    <row r="94" spans="1:31">
      <c r="B94" s="160" t="s">
        <v>99</v>
      </c>
      <c r="C94" s="276">
        <v>276795</v>
      </c>
      <c r="D94" s="160">
        <v>233765</v>
      </c>
      <c r="E94" s="91">
        <v>270680</v>
      </c>
      <c r="F94" s="91">
        <v>298387</v>
      </c>
      <c r="G94" s="91">
        <v>296861</v>
      </c>
      <c r="H94" s="91">
        <v>284974</v>
      </c>
      <c r="I94" s="91">
        <v>227886</v>
      </c>
      <c r="J94" s="91">
        <v>229223</v>
      </c>
      <c r="K94" s="160">
        <v>275627</v>
      </c>
      <c r="L94" s="160">
        <v>260568</v>
      </c>
      <c r="M94" s="160">
        <v>234165</v>
      </c>
      <c r="N94" s="160">
        <v>288168</v>
      </c>
      <c r="O94" s="328">
        <v>326280</v>
      </c>
      <c r="P94" s="160">
        <v>326084</v>
      </c>
      <c r="Q94" s="160">
        <v>302298</v>
      </c>
      <c r="R94" s="277">
        <v>221468</v>
      </c>
      <c r="S94" s="277">
        <v>220609</v>
      </c>
      <c r="T94" s="277">
        <v>244675</v>
      </c>
      <c r="U94" s="406">
        <f t="shared" si="4"/>
        <v>26.132115677321156</v>
      </c>
      <c r="V94" s="316">
        <f t="shared" si="5"/>
        <v>33.721347031963468</v>
      </c>
      <c r="W94" s="311">
        <f t="shared" si="7"/>
        <v>29.184429223744292</v>
      </c>
      <c r="X94" s="275">
        <v>31.426666666666662</v>
      </c>
      <c r="Y94" s="275"/>
      <c r="Z94" s="160">
        <v>64</v>
      </c>
      <c r="AB94" s="319">
        <f t="shared" si="6"/>
        <v>0.52689604737442919</v>
      </c>
      <c r="AE94" s="160"/>
    </row>
    <row r="95" spans="1:31">
      <c r="B95" s="160" t="s">
        <v>227</v>
      </c>
      <c r="C95" s="276">
        <v>127815.001</v>
      </c>
      <c r="D95" s="160">
        <v>118972.001</v>
      </c>
      <c r="E95" s="91">
        <v>129812</v>
      </c>
      <c r="F95" s="91">
        <v>135336</v>
      </c>
      <c r="G95" s="91">
        <v>132325</v>
      </c>
      <c r="H95" s="91">
        <v>133275</v>
      </c>
      <c r="I95" s="91">
        <v>129008</v>
      </c>
      <c r="J95" s="91">
        <v>115817</v>
      </c>
      <c r="K95" s="160">
        <v>128796</v>
      </c>
      <c r="L95" s="160">
        <v>122257</v>
      </c>
      <c r="M95" s="160">
        <v>120437</v>
      </c>
      <c r="N95" s="160">
        <v>130317</v>
      </c>
      <c r="O95" s="328">
        <v>118094</v>
      </c>
      <c r="P95" s="160">
        <v>126084</v>
      </c>
      <c r="Q95" s="160">
        <v>114080</v>
      </c>
      <c r="R95" s="277">
        <v>116008</v>
      </c>
      <c r="S95" s="277">
        <v>128167</v>
      </c>
      <c r="T95" s="277">
        <v>142752</v>
      </c>
      <c r="U95" s="406">
        <f t="shared" si="4"/>
        <v>14.723249619482496</v>
      </c>
      <c r="V95" s="316">
        <f t="shared" si="5"/>
        <v>13.904383561643835</v>
      </c>
      <c r="W95" s="311">
        <f t="shared" si="7"/>
        <v>14.364223744292238</v>
      </c>
      <c r="X95" s="275">
        <v>14.709132465753424</v>
      </c>
      <c r="Y95" s="275"/>
      <c r="Z95" s="160">
        <v>17</v>
      </c>
      <c r="AB95" s="319">
        <f t="shared" si="6"/>
        <v>0.81790491539081378</v>
      </c>
      <c r="AD95" s="160"/>
      <c r="AE95" s="160"/>
    </row>
    <row r="96" spans="1:31">
      <c r="B96" s="160" t="s">
        <v>100</v>
      </c>
      <c r="C96" s="276">
        <v>279655</v>
      </c>
      <c r="D96" s="160">
        <v>223233.99900000001</v>
      </c>
      <c r="E96" s="91">
        <v>267506</v>
      </c>
      <c r="F96" s="91">
        <v>319805</v>
      </c>
      <c r="G96" s="91">
        <v>303864</v>
      </c>
      <c r="H96" s="91">
        <v>348297</v>
      </c>
      <c r="I96" s="91">
        <v>283213</v>
      </c>
      <c r="J96" s="91">
        <v>226345</v>
      </c>
      <c r="K96" s="160">
        <v>285541</v>
      </c>
      <c r="L96" s="160">
        <v>258627</v>
      </c>
      <c r="M96" s="277">
        <v>254064</v>
      </c>
      <c r="N96" s="277">
        <v>299866</v>
      </c>
      <c r="O96" s="328">
        <v>341811</v>
      </c>
      <c r="P96" s="277">
        <v>344893</v>
      </c>
      <c r="Q96" s="277">
        <v>295185</v>
      </c>
      <c r="R96" s="277">
        <v>200665</v>
      </c>
      <c r="S96" s="277">
        <v>225770</v>
      </c>
      <c r="T96" s="277">
        <v>281552</v>
      </c>
      <c r="U96" s="406">
        <f t="shared" si="4"/>
        <v>26.940144596651447</v>
      </c>
      <c r="V96" s="316">
        <f t="shared" si="5"/>
        <v>35.064360730593606</v>
      </c>
      <c r="W96" s="311">
        <f t="shared" si="7"/>
        <v>32.009657534246571</v>
      </c>
      <c r="X96" s="275">
        <v>31.827945182648406</v>
      </c>
      <c r="Y96" s="275"/>
      <c r="Z96" s="160">
        <v>48</v>
      </c>
      <c r="AB96" s="319">
        <f t="shared" si="6"/>
        <v>0.73050751522070012</v>
      </c>
      <c r="AD96" s="160"/>
      <c r="AE96" s="160"/>
    </row>
    <row r="97" spans="1:31" ht="14.25">
      <c r="B97" s="160" t="s">
        <v>390</v>
      </c>
      <c r="C97" s="276">
        <v>67595</v>
      </c>
      <c r="D97" s="160">
        <v>60099.000999999997</v>
      </c>
      <c r="E97" s="91">
        <v>57078</v>
      </c>
      <c r="F97" s="91">
        <v>62452</v>
      </c>
      <c r="G97" s="91">
        <v>61727</v>
      </c>
      <c r="H97" s="91">
        <v>65131</v>
      </c>
      <c r="I97" s="91">
        <v>66415</v>
      </c>
      <c r="J97" s="91">
        <v>56473</v>
      </c>
      <c r="K97" s="160">
        <v>61478</v>
      </c>
      <c r="L97" s="160">
        <v>59401</v>
      </c>
      <c r="M97" s="277">
        <v>57101</v>
      </c>
      <c r="N97" s="277">
        <v>62279</v>
      </c>
      <c r="O97" s="277">
        <v>62610</v>
      </c>
      <c r="P97" s="277">
        <v>51327</v>
      </c>
      <c r="Q97" s="277">
        <v>0</v>
      </c>
      <c r="R97" s="277">
        <v>1136</v>
      </c>
      <c r="S97" s="277">
        <v>65416</v>
      </c>
      <c r="T97" s="277">
        <v>57639</v>
      </c>
      <c r="U97" s="406">
        <f t="shared" si="4"/>
        <v>4.7256849315068497</v>
      </c>
      <c r="V97" s="316">
        <f>(M97+N97+O97+P97)/4/8760</f>
        <v>6.6585901826484015</v>
      </c>
      <c r="W97" s="311">
        <f t="shared" si="7"/>
        <v>7.0524657534246575</v>
      </c>
      <c r="X97" s="275">
        <v>7.0536758219178077</v>
      </c>
      <c r="Y97" s="275"/>
      <c r="Z97" s="160">
        <v>8</v>
      </c>
      <c r="AB97" s="319">
        <f t="shared" si="6"/>
        <v>0.83232377283105019</v>
      </c>
      <c r="AD97" s="160"/>
      <c r="AE97" s="160"/>
    </row>
    <row r="98" spans="1:31">
      <c r="B98" s="160" t="s">
        <v>102</v>
      </c>
      <c r="C98" s="276">
        <v>273198</v>
      </c>
      <c r="D98" s="160">
        <v>241470</v>
      </c>
      <c r="E98" s="91">
        <v>256017</v>
      </c>
      <c r="F98" s="91">
        <v>307166</v>
      </c>
      <c r="G98" s="91">
        <v>299245</v>
      </c>
      <c r="H98" s="91">
        <v>199410</v>
      </c>
      <c r="I98" s="91">
        <v>284608</v>
      </c>
      <c r="J98" s="91">
        <v>225296</v>
      </c>
      <c r="K98" s="160">
        <v>254947</v>
      </c>
      <c r="L98" s="160">
        <v>247097</v>
      </c>
      <c r="M98" s="277">
        <v>258995</v>
      </c>
      <c r="N98" s="277">
        <v>289766</v>
      </c>
      <c r="O98" s="277">
        <v>323972</v>
      </c>
      <c r="P98" s="277">
        <v>318712</v>
      </c>
      <c r="Q98" s="277">
        <v>307622</v>
      </c>
      <c r="R98" s="281">
        <v>231237</v>
      </c>
      <c r="S98" s="281">
        <v>228312</v>
      </c>
      <c r="T98" s="281">
        <v>294983</v>
      </c>
      <c r="U98" s="406">
        <f t="shared" si="4"/>
        <v>28.711263318112632</v>
      </c>
      <c r="V98" s="316">
        <f t="shared" ref="V98:V104" si="8">(M98+N98+O98+P98+Q98)/5/8760</f>
        <v>34.225273972602743</v>
      </c>
      <c r="W98" s="311">
        <f t="shared" si="7"/>
        <v>27.656575342465754</v>
      </c>
      <c r="X98" s="275">
        <v>31.440547945205481</v>
      </c>
      <c r="Y98" s="275"/>
      <c r="Z98" s="160">
        <v>48</v>
      </c>
      <c r="AB98" s="319">
        <f t="shared" si="6"/>
        <v>0.71302654109589048</v>
      </c>
      <c r="AD98" s="160"/>
    </row>
    <row r="99" spans="1:31">
      <c r="B99" s="160" t="s">
        <v>103</v>
      </c>
      <c r="C99" s="276">
        <v>43252.000999999997</v>
      </c>
      <c r="D99" s="160">
        <v>48576.999000000003</v>
      </c>
      <c r="E99" s="91">
        <v>53487</v>
      </c>
      <c r="F99" s="91">
        <v>54439</v>
      </c>
      <c r="G99" s="91">
        <v>46138</v>
      </c>
      <c r="H99" s="91">
        <v>50609</v>
      </c>
      <c r="I99" s="91">
        <v>49084</v>
      </c>
      <c r="J99" s="91">
        <v>54124</v>
      </c>
      <c r="K99" s="160">
        <v>64084</v>
      </c>
      <c r="L99" s="160">
        <v>57481</v>
      </c>
      <c r="M99" s="277">
        <v>51416</v>
      </c>
      <c r="N99" s="277">
        <v>61891</v>
      </c>
      <c r="O99" s="277">
        <v>61328</v>
      </c>
      <c r="P99" s="277">
        <v>57802</v>
      </c>
      <c r="Q99" s="277">
        <v>56432</v>
      </c>
      <c r="R99" s="281">
        <v>52949</v>
      </c>
      <c r="S99" s="281">
        <v>38248</v>
      </c>
      <c r="T99" s="281">
        <v>62323</v>
      </c>
      <c r="U99" s="406">
        <f t="shared" si="4"/>
        <v>5.8417047184170476</v>
      </c>
      <c r="V99" s="316">
        <f t="shared" si="8"/>
        <v>6.5951826484018268</v>
      </c>
      <c r="W99" s="311">
        <f t="shared" si="7"/>
        <v>6.2872602739726027</v>
      </c>
      <c r="X99" s="275">
        <v>5.6139954337899542</v>
      </c>
      <c r="Y99" s="275"/>
      <c r="Z99" s="160">
        <v>12</v>
      </c>
      <c r="AB99" s="319">
        <f t="shared" si="6"/>
        <v>0.54959855403348556</v>
      </c>
      <c r="AD99" s="160"/>
      <c r="AE99" s="160"/>
    </row>
    <row r="100" spans="1:31">
      <c r="B100" s="160" t="s">
        <v>104</v>
      </c>
      <c r="C100" s="276">
        <v>238163.99900000001</v>
      </c>
      <c r="D100" s="160">
        <v>228869.00099999999</v>
      </c>
      <c r="E100" s="91">
        <v>239938</v>
      </c>
      <c r="F100" s="91">
        <v>268072</v>
      </c>
      <c r="G100" s="91">
        <v>252528</v>
      </c>
      <c r="H100" s="91">
        <v>230631</v>
      </c>
      <c r="I100" s="91">
        <v>241199</v>
      </c>
      <c r="J100" s="91">
        <v>289203</v>
      </c>
      <c r="K100" s="160">
        <v>412761</v>
      </c>
      <c r="L100" s="160">
        <v>347742</v>
      </c>
      <c r="M100" s="277">
        <v>343233</v>
      </c>
      <c r="N100" s="277">
        <v>376048</v>
      </c>
      <c r="O100" s="277">
        <v>398801</v>
      </c>
      <c r="P100" s="277">
        <v>453370</v>
      </c>
      <c r="Q100" s="277">
        <v>402133</v>
      </c>
      <c r="R100" s="281">
        <v>308369</v>
      </c>
      <c r="S100" s="281">
        <v>294013</v>
      </c>
      <c r="T100" s="281">
        <v>394824</v>
      </c>
      <c r="U100" s="406">
        <f t="shared" si="4"/>
        <v>37.945433789954336</v>
      </c>
      <c r="V100" s="316">
        <f t="shared" si="8"/>
        <v>45.059018264840184</v>
      </c>
      <c r="W100" s="311">
        <f t="shared" si="7"/>
        <v>34.738264840182651</v>
      </c>
      <c r="X100" s="275">
        <v>28.026735159817353</v>
      </c>
      <c r="Y100" s="275"/>
      <c r="Z100" s="160">
        <v>64</v>
      </c>
      <c r="AB100" s="319">
        <f t="shared" si="6"/>
        <v>0.70404716038812787</v>
      </c>
      <c r="AD100" s="160"/>
      <c r="AE100" s="160"/>
    </row>
    <row r="101" spans="1:31">
      <c r="B101" s="160" t="s">
        <v>105</v>
      </c>
      <c r="C101" s="276">
        <v>411025</v>
      </c>
      <c r="D101" s="160">
        <v>384540</v>
      </c>
      <c r="E101" s="91">
        <v>390576</v>
      </c>
      <c r="F101" s="91">
        <v>441426</v>
      </c>
      <c r="G101" s="91">
        <v>423204</v>
      </c>
      <c r="H101" s="91">
        <v>440545</v>
      </c>
      <c r="I101" s="91">
        <v>390454</v>
      </c>
      <c r="J101" s="91">
        <v>395440</v>
      </c>
      <c r="K101" s="160">
        <v>468937</v>
      </c>
      <c r="L101" s="160">
        <v>447914</v>
      </c>
      <c r="M101" s="277">
        <v>413979</v>
      </c>
      <c r="N101" s="277">
        <v>423168</v>
      </c>
      <c r="O101" s="277">
        <v>470678</v>
      </c>
      <c r="P101" s="277">
        <v>484121</v>
      </c>
      <c r="Q101" s="277">
        <v>459044</v>
      </c>
      <c r="R101" s="281">
        <v>384498</v>
      </c>
      <c r="S101" s="281">
        <v>397394</v>
      </c>
      <c r="T101" s="281">
        <v>486194</v>
      </c>
      <c r="U101" s="406">
        <f t="shared" si="4"/>
        <v>48.25289193302892</v>
      </c>
      <c r="V101" s="316">
        <f t="shared" si="8"/>
        <v>51.392465753424659</v>
      </c>
      <c r="W101" s="311">
        <f t="shared" si="7"/>
        <v>48.933561643835617</v>
      </c>
      <c r="X101" s="275">
        <v>46.82125570776256</v>
      </c>
      <c r="Y101" s="275"/>
      <c r="Z101" s="160">
        <v>72</v>
      </c>
      <c r="AB101" s="319">
        <f t="shared" si="6"/>
        <v>0.71378424657534245</v>
      </c>
      <c r="AD101" s="160"/>
      <c r="AE101" s="160"/>
    </row>
    <row r="102" spans="1:31">
      <c r="B102" s="160" t="s">
        <v>106</v>
      </c>
      <c r="C102" s="276">
        <v>493070</v>
      </c>
      <c r="D102" s="160">
        <v>509373</v>
      </c>
      <c r="E102" s="91">
        <v>474349</v>
      </c>
      <c r="F102" s="91">
        <v>482044</v>
      </c>
      <c r="G102" s="91">
        <v>465209</v>
      </c>
      <c r="H102" s="91">
        <v>534298</v>
      </c>
      <c r="I102" s="91">
        <v>522124</v>
      </c>
      <c r="J102" s="91">
        <v>482932</v>
      </c>
      <c r="K102" s="160">
        <v>529694</v>
      </c>
      <c r="L102" s="160">
        <v>522509</v>
      </c>
      <c r="M102" s="277">
        <v>510256</v>
      </c>
      <c r="N102" s="277">
        <v>498356</v>
      </c>
      <c r="O102" s="277">
        <v>460628</v>
      </c>
      <c r="P102" s="277">
        <v>449078</v>
      </c>
      <c r="Q102" s="277">
        <v>480176</v>
      </c>
      <c r="R102" s="281">
        <v>469371</v>
      </c>
      <c r="S102" s="281">
        <v>496704</v>
      </c>
      <c r="T102" s="281">
        <v>396250</v>
      </c>
      <c r="U102" s="406">
        <f t="shared" si="4"/>
        <v>51.838850837138509</v>
      </c>
      <c r="V102" s="316">
        <f t="shared" si="8"/>
        <v>54.760136986301369</v>
      </c>
      <c r="W102" s="311">
        <f t="shared" si="7"/>
        <v>59.167968036529686</v>
      </c>
      <c r="X102" s="275">
        <v>55.343493150684928</v>
      </c>
      <c r="Y102" s="275"/>
      <c r="Z102" s="160">
        <v>65</v>
      </c>
      <c r="AB102" s="319">
        <f t="shared" si="6"/>
        <v>0.84246364594309797</v>
      </c>
      <c r="AD102" s="160"/>
      <c r="AE102" s="160"/>
    </row>
    <row r="103" spans="1:31" ht="14.25">
      <c r="B103" s="160" t="s">
        <v>328</v>
      </c>
      <c r="C103" s="279" t="s">
        <v>10</v>
      </c>
      <c r="D103" s="105" t="s">
        <v>10</v>
      </c>
      <c r="E103" s="105" t="s">
        <v>10</v>
      </c>
      <c r="F103" s="105" t="s">
        <v>10</v>
      </c>
      <c r="G103" s="105" t="s">
        <v>10</v>
      </c>
      <c r="H103" s="105" t="s">
        <v>10</v>
      </c>
      <c r="I103" s="105" t="s">
        <v>10</v>
      </c>
      <c r="J103" s="105" t="s">
        <v>10</v>
      </c>
      <c r="K103" s="193">
        <v>17106</v>
      </c>
      <c r="L103" s="193">
        <v>29845</v>
      </c>
      <c r="M103" s="277">
        <v>35548</v>
      </c>
      <c r="N103" s="277">
        <v>30775</v>
      </c>
      <c r="O103" s="277">
        <v>32031</v>
      </c>
      <c r="P103" s="277">
        <v>33911</v>
      </c>
      <c r="Q103" s="277">
        <v>40336</v>
      </c>
      <c r="R103" s="277">
        <v>33607</v>
      </c>
      <c r="S103" s="277">
        <v>39347</v>
      </c>
      <c r="T103" s="277">
        <v>33234</v>
      </c>
      <c r="U103" s="406">
        <f t="shared" si="4"/>
        <v>4.0406392694063928</v>
      </c>
      <c r="V103" s="316">
        <f t="shared" si="8"/>
        <v>3.9406621004566205</v>
      </c>
      <c r="W103" s="311">
        <f>(K103+L103)/2/8760</f>
        <v>2.6798515981735158</v>
      </c>
      <c r="X103" s="278" t="s">
        <v>10</v>
      </c>
      <c r="Y103" s="275"/>
      <c r="Z103" s="160">
        <v>11.3</v>
      </c>
      <c r="AB103" s="319">
        <f t="shared" si="6"/>
        <v>0.34873115933244425</v>
      </c>
      <c r="AD103" s="160"/>
      <c r="AE103" s="160"/>
    </row>
    <row r="104" spans="1:31" ht="14.25">
      <c r="B104" s="160" t="s">
        <v>329</v>
      </c>
      <c r="C104" s="276">
        <v>2914</v>
      </c>
      <c r="D104" s="160">
        <v>3880</v>
      </c>
      <c r="E104" s="160">
        <v>4686</v>
      </c>
      <c r="F104" s="160">
        <v>3917</v>
      </c>
      <c r="G104" s="160">
        <v>4626</v>
      </c>
      <c r="H104" s="160">
        <v>5173</v>
      </c>
      <c r="I104" s="160">
        <v>4437</v>
      </c>
      <c r="J104" s="160">
        <v>4590</v>
      </c>
      <c r="K104" s="160">
        <v>4061</v>
      </c>
      <c r="L104" s="160">
        <v>3247</v>
      </c>
      <c r="M104" s="281">
        <v>3336</v>
      </c>
      <c r="N104" s="281">
        <v>2954</v>
      </c>
      <c r="O104" s="281">
        <v>2090</v>
      </c>
      <c r="P104" s="281">
        <v>2377</v>
      </c>
      <c r="Q104" s="281">
        <v>846</v>
      </c>
      <c r="R104" s="281">
        <v>0</v>
      </c>
      <c r="S104" s="281">
        <v>0</v>
      </c>
      <c r="T104" s="281">
        <v>0</v>
      </c>
      <c r="U104" s="406">
        <f t="shared" si="4"/>
        <v>0</v>
      </c>
      <c r="V104" s="316">
        <f t="shared" si="8"/>
        <v>0.26490867579908672</v>
      </c>
      <c r="W104" s="311">
        <f>(H104+I104+J104+K104+L104)/5/8760</f>
        <v>0.49105022831050232</v>
      </c>
      <c r="X104" s="306" t="s">
        <v>10</v>
      </c>
      <c r="Y104" s="306"/>
      <c r="Z104" s="160">
        <v>3.9</v>
      </c>
      <c r="AB104" s="319">
        <f t="shared" si="6"/>
        <v>6.7925301486945311E-2</v>
      </c>
      <c r="AD104" s="160"/>
      <c r="AE104" s="160"/>
    </row>
    <row r="105" spans="1:31">
      <c r="C105" s="274"/>
      <c r="D105" s="96"/>
      <c r="U105" s="276"/>
      <c r="V105" s="316"/>
      <c r="W105" s="312"/>
      <c r="X105" s="275"/>
      <c r="Y105" s="275"/>
      <c r="AD105" s="160"/>
      <c r="AE105" s="160"/>
    </row>
    <row r="106" spans="1:31">
      <c r="A106" s="164" t="s">
        <v>433</v>
      </c>
      <c r="C106" s="274"/>
      <c r="D106" s="96"/>
      <c r="E106" s="96"/>
      <c r="U106" s="276"/>
      <c r="V106" s="316"/>
      <c r="W106" s="312"/>
      <c r="X106" s="275"/>
      <c r="Y106" s="275"/>
      <c r="AD106" s="160"/>
      <c r="AE106" s="160"/>
    </row>
    <row r="107" spans="1:31" ht="14.25">
      <c r="B107" s="160" t="s">
        <v>330</v>
      </c>
      <c r="C107" s="276">
        <v>8419.24</v>
      </c>
      <c r="D107" s="160">
        <v>7071.7560000000003</v>
      </c>
      <c r="E107" s="160">
        <v>7093.86463</v>
      </c>
      <c r="F107" s="160">
        <v>9423.2009999999991</v>
      </c>
      <c r="G107" s="160">
        <v>9353.3189999999995</v>
      </c>
      <c r="H107" s="160">
        <v>7788</v>
      </c>
      <c r="I107" s="160">
        <v>8223</v>
      </c>
      <c r="J107" s="160">
        <v>8267</v>
      </c>
      <c r="K107" s="160">
        <v>8698</v>
      </c>
      <c r="L107" s="160">
        <f>'[2]QF 2013 to 2016'!G38</f>
        <v>9257.523000000001</v>
      </c>
      <c r="M107" s="160">
        <v>9209</v>
      </c>
      <c r="N107" s="160">
        <v>10345</v>
      </c>
      <c r="O107" s="160">
        <v>10375</v>
      </c>
      <c r="P107" s="160">
        <v>10939</v>
      </c>
      <c r="Q107" s="160">
        <v>9604</v>
      </c>
      <c r="R107" s="160">
        <v>6540</v>
      </c>
      <c r="S107" s="281" t="s">
        <v>448</v>
      </c>
      <c r="T107" s="281" t="s">
        <v>448</v>
      </c>
      <c r="U107" s="406">
        <f>(R107)/8760</f>
        <v>0.74657534246575341</v>
      </c>
      <c r="V107" s="316">
        <f>(M107+N107+O107+P107+Q107)/5/8760</f>
        <v>1.1523287671232876</v>
      </c>
      <c r="W107" s="311">
        <f>(H107+I107+J107+K107+L107)/5/8760</f>
        <v>0.96423568493150691</v>
      </c>
      <c r="X107" s="275">
        <v>0.94432375867579921</v>
      </c>
      <c r="Y107" s="275"/>
      <c r="Z107" s="160">
        <v>3.2</v>
      </c>
      <c r="AB107" s="319">
        <f t="shared" ref="AB107" si="9">V107/Z107</f>
        <v>0.36010273972602735</v>
      </c>
      <c r="AD107" s="160"/>
      <c r="AE107" s="160"/>
    </row>
    <row r="108" spans="1:31">
      <c r="C108" s="274"/>
      <c r="D108" s="96"/>
      <c r="E108" s="96"/>
      <c r="U108" s="276"/>
      <c r="V108" s="316"/>
      <c r="W108" s="312"/>
      <c r="X108" s="275"/>
      <c r="Y108" s="275"/>
      <c r="AD108" s="160"/>
      <c r="AE108" s="160"/>
    </row>
    <row r="109" spans="1:31">
      <c r="A109" s="164" t="s">
        <v>95</v>
      </c>
      <c r="C109" s="274"/>
      <c r="D109" s="96"/>
      <c r="E109" s="96"/>
      <c r="U109" s="276"/>
      <c r="V109" s="316"/>
      <c r="W109" s="312"/>
      <c r="X109" s="275"/>
      <c r="Y109" s="275"/>
      <c r="AD109" s="160"/>
      <c r="AE109" s="160"/>
    </row>
    <row r="110" spans="1:31" ht="14.25">
      <c r="B110" s="170" t="s">
        <v>96</v>
      </c>
      <c r="C110" s="279" t="s">
        <v>10</v>
      </c>
      <c r="D110" s="105" t="s">
        <v>10</v>
      </c>
      <c r="E110" s="105" t="s">
        <v>10</v>
      </c>
      <c r="F110" s="105" t="s">
        <v>10</v>
      </c>
      <c r="G110" s="91">
        <v>27557</v>
      </c>
      <c r="H110" s="91">
        <v>57155</v>
      </c>
      <c r="I110" s="211">
        <v>36382</v>
      </c>
      <c r="J110" s="211">
        <v>36937</v>
      </c>
      <c r="K110" s="211">
        <v>21584</v>
      </c>
      <c r="L110" s="211">
        <v>29819</v>
      </c>
      <c r="M110" s="211">
        <v>39191</v>
      </c>
      <c r="N110" s="211">
        <v>32172</v>
      </c>
      <c r="O110" s="211">
        <v>7123</v>
      </c>
      <c r="P110" s="211">
        <v>0</v>
      </c>
      <c r="Q110" s="211">
        <v>0</v>
      </c>
      <c r="R110" s="211">
        <v>0</v>
      </c>
      <c r="S110" s="211">
        <v>0</v>
      </c>
      <c r="T110" s="211">
        <v>0</v>
      </c>
      <c r="U110" s="406">
        <f>(R110+S110)/2/8760</f>
        <v>0</v>
      </c>
      <c r="V110" s="316">
        <f>(M110+N110+O110+P110+Q110)/5/8760</f>
        <v>1.7919178082191782</v>
      </c>
      <c r="W110" s="311">
        <f>(H110+I110+J110+K110+L110)/5/8760</f>
        <v>4.152442922374429</v>
      </c>
      <c r="X110" s="275">
        <v>3.1457762557077626</v>
      </c>
      <c r="Y110" s="275"/>
      <c r="Z110" s="160">
        <v>5.5</v>
      </c>
      <c r="AB110" s="319">
        <f t="shared" ref="AB110" si="10">V110/Z110</f>
        <v>0.32580323785803239</v>
      </c>
    </row>
    <row r="111" spans="1:31">
      <c r="B111" s="170"/>
      <c r="C111" s="279"/>
      <c r="D111" s="105"/>
      <c r="E111" s="105"/>
      <c r="F111" s="105"/>
      <c r="G111" s="91"/>
      <c r="H111" s="91"/>
      <c r="I111" s="91"/>
      <c r="J111" s="91"/>
      <c r="K111" s="91"/>
      <c r="L111" s="91"/>
      <c r="M111" s="91"/>
      <c r="N111" s="91"/>
      <c r="O111" s="91"/>
      <c r="P111" s="91"/>
      <c r="Q111" s="91"/>
      <c r="R111" s="91"/>
      <c r="S111" s="91"/>
      <c r="T111" s="91"/>
      <c r="U111" s="409"/>
      <c r="V111" s="316"/>
      <c r="W111" s="313"/>
      <c r="X111" s="275"/>
      <c r="Y111" s="275"/>
    </row>
    <row r="112" spans="1:31">
      <c r="A112" s="164" t="s">
        <v>419</v>
      </c>
      <c r="B112" s="170"/>
      <c r="C112" s="279"/>
      <c r="D112" s="105"/>
      <c r="E112" s="105"/>
      <c r="F112" s="105"/>
      <c r="G112" s="91"/>
      <c r="H112" s="91"/>
      <c r="I112" s="91"/>
      <c r="J112" s="91"/>
      <c r="K112" s="91"/>
      <c r="L112" s="91"/>
      <c r="M112" s="91"/>
      <c r="N112" s="91"/>
      <c r="O112" s="91"/>
      <c r="P112" s="91"/>
      <c r="Q112" s="91"/>
      <c r="R112" s="91"/>
      <c r="S112" s="91"/>
      <c r="T112" s="91"/>
      <c r="U112" s="409"/>
      <c r="V112" s="316"/>
      <c r="W112" s="313"/>
      <c r="X112" s="275"/>
      <c r="Y112" s="275"/>
    </row>
    <row r="113" spans="1:31" ht="15">
      <c r="B113" s="160" t="s">
        <v>83</v>
      </c>
      <c r="C113" s="279" t="s">
        <v>10</v>
      </c>
      <c r="D113" s="105" t="s">
        <v>10</v>
      </c>
      <c r="E113" s="105" t="s">
        <v>10</v>
      </c>
      <c r="F113" s="105" t="s">
        <v>10</v>
      </c>
      <c r="G113" s="105" t="s">
        <v>10</v>
      </c>
      <c r="H113" s="160">
        <v>1241</v>
      </c>
      <c r="I113" s="160">
        <v>42260</v>
      </c>
      <c r="J113" s="193">
        <v>41878</v>
      </c>
      <c r="K113" s="171">
        <f>39432514/1000</f>
        <v>39432.514000000003</v>
      </c>
      <c r="L113" s="171">
        <f>36650240/1000</f>
        <v>36650.239999999998</v>
      </c>
      <c r="M113" s="277">
        <v>39552</v>
      </c>
      <c r="N113" s="277">
        <v>37147</v>
      </c>
      <c r="O113" s="277">
        <v>38720</v>
      </c>
      <c r="P113" s="277">
        <v>66410</v>
      </c>
      <c r="Q113" s="277">
        <v>77241</v>
      </c>
      <c r="R113" s="277">
        <v>68976</v>
      </c>
      <c r="S113" s="277">
        <v>74906</v>
      </c>
      <c r="T113" s="277">
        <v>37237</v>
      </c>
      <c r="U113" s="406">
        <f>(R113+S113+T113)/3/8760</f>
        <v>6.8918949771689499</v>
      </c>
      <c r="V113" s="316">
        <f>(M113+N113+O113+P113+Q113)/5/8760</f>
        <v>5.9148401826484021</v>
      </c>
      <c r="W113" s="311">
        <f>(H113+I113+J113+K113+L113)/5/8760</f>
        <v>3.686341415525114</v>
      </c>
      <c r="X113" s="275">
        <v>0</v>
      </c>
      <c r="Y113" s="275"/>
      <c r="Z113" s="160">
        <v>9.6</v>
      </c>
      <c r="AB113" s="319">
        <f t="shared" ref="AB113" si="11">V113/Z113</f>
        <v>0.61612918569254194</v>
      </c>
    </row>
    <row r="114" spans="1:31">
      <c r="B114" s="160" t="s">
        <v>362</v>
      </c>
      <c r="C114" s="279" t="s">
        <v>10</v>
      </c>
      <c r="D114" s="105" t="s">
        <v>10</v>
      </c>
      <c r="E114" s="105" t="s">
        <v>10</v>
      </c>
      <c r="F114" s="105" t="s">
        <v>10</v>
      </c>
      <c r="G114" s="105" t="s">
        <v>10</v>
      </c>
      <c r="H114" s="105" t="s">
        <v>10</v>
      </c>
      <c r="I114" s="105" t="s">
        <v>10</v>
      </c>
      <c r="J114" s="105" t="s">
        <v>10</v>
      </c>
      <c r="K114" s="105" t="s">
        <v>10</v>
      </c>
      <c r="L114" s="105" t="s">
        <v>10</v>
      </c>
      <c r="M114" s="105" t="s">
        <v>10</v>
      </c>
      <c r="N114" s="105" t="s">
        <v>10</v>
      </c>
      <c r="O114" s="105" t="s">
        <v>10</v>
      </c>
      <c r="P114" s="277">
        <v>10</v>
      </c>
      <c r="Q114" s="277">
        <v>8984</v>
      </c>
      <c r="R114" s="277">
        <v>10281</v>
      </c>
      <c r="S114" s="281" t="s">
        <v>448</v>
      </c>
      <c r="T114" s="281">
        <v>9804</v>
      </c>
      <c r="U114" s="406">
        <f>(R114)/8760</f>
        <v>1.1736301369863014</v>
      </c>
      <c r="V114" s="316">
        <f>(P114+Q114)/2/8760</f>
        <v>0.51335616438356169</v>
      </c>
      <c r="W114" s="401" t="s">
        <v>10</v>
      </c>
      <c r="X114" s="275"/>
      <c r="Y114" s="275"/>
    </row>
    <row r="115" spans="1:31">
      <c r="B115" s="170"/>
      <c r="C115" s="279"/>
      <c r="D115" s="105"/>
      <c r="E115" s="105"/>
      <c r="F115" s="105"/>
      <c r="G115" s="91"/>
      <c r="H115" s="91"/>
      <c r="I115" s="91"/>
      <c r="J115" s="91"/>
      <c r="K115" s="91"/>
      <c r="L115" s="91"/>
      <c r="M115" s="91"/>
      <c r="N115" s="91"/>
      <c r="O115" s="91"/>
      <c r="P115" s="91"/>
      <c r="Q115" s="91"/>
      <c r="R115" s="91"/>
      <c r="S115" s="91"/>
      <c r="T115" s="91"/>
      <c r="U115" s="409"/>
      <c r="V115" s="316"/>
      <c r="W115" s="313"/>
      <c r="X115" s="275"/>
      <c r="Y115" s="275"/>
    </row>
    <row r="116" spans="1:31">
      <c r="A116" s="164" t="s">
        <v>67</v>
      </c>
      <c r="C116" s="274"/>
      <c r="D116" s="96"/>
      <c r="E116" s="96"/>
      <c r="U116" s="276"/>
      <c r="V116" s="316"/>
      <c r="W116" s="312"/>
      <c r="X116" s="275"/>
      <c r="Y116" s="275"/>
      <c r="AE116" s="160"/>
    </row>
    <row r="117" spans="1:31">
      <c r="B117" s="160" t="s">
        <v>97</v>
      </c>
      <c r="C117" s="276">
        <v>31390.999</v>
      </c>
      <c r="D117" s="160">
        <v>24435</v>
      </c>
      <c r="E117" s="91">
        <v>27562</v>
      </c>
      <c r="F117" s="91">
        <v>28977</v>
      </c>
      <c r="G117" s="91">
        <v>32262</v>
      </c>
      <c r="H117" s="91">
        <v>34671</v>
      </c>
      <c r="I117" s="91">
        <v>33426</v>
      </c>
      <c r="J117" s="91">
        <v>30165</v>
      </c>
      <c r="K117" s="177">
        <v>31240</v>
      </c>
      <c r="L117" s="91">
        <v>26515</v>
      </c>
      <c r="M117" s="277">
        <v>29483</v>
      </c>
      <c r="N117" s="277">
        <v>21447</v>
      </c>
      <c r="O117" s="277">
        <v>26132</v>
      </c>
      <c r="P117" s="277">
        <v>27204</v>
      </c>
      <c r="Q117" s="277">
        <v>27032</v>
      </c>
      <c r="R117" s="277">
        <v>28399</v>
      </c>
      <c r="S117" s="277">
        <v>26340</v>
      </c>
      <c r="T117" s="277"/>
      <c r="U117" s="406">
        <f>(R117+S117)/2/8760</f>
        <v>3.1243721461187213</v>
      </c>
      <c r="V117" s="316">
        <f>(M117+N117+O117+P117+Q117)/5/8760</f>
        <v>2.9976712328767121</v>
      </c>
      <c r="W117" s="311">
        <f>(H117+I117+J117+K117+L117)/5/8760</f>
        <v>3.5620319634703197</v>
      </c>
      <c r="X117" s="275">
        <v>3.3019862785388132</v>
      </c>
      <c r="Y117" s="275"/>
      <c r="Z117" s="160">
        <v>4.0999999999999996</v>
      </c>
      <c r="AB117" s="319">
        <f t="shared" ref="AB117" si="12">V117/Z117</f>
        <v>0.73113932509188106</v>
      </c>
      <c r="AE117" s="160"/>
    </row>
    <row r="118" spans="1:31">
      <c r="B118" s="160" t="s">
        <v>420</v>
      </c>
      <c r="C118" s="279" t="s">
        <v>10</v>
      </c>
      <c r="D118" s="105" t="s">
        <v>10</v>
      </c>
      <c r="E118" s="105" t="s">
        <v>10</v>
      </c>
      <c r="F118" s="105" t="s">
        <v>10</v>
      </c>
      <c r="G118" s="105" t="s">
        <v>10</v>
      </c>
      <c r="H118" s="105" t="s">
        <v>10</v>
      </c>
      <c r="I118" s="105" t="s">
        <v>10</v>
      </c>
      <c r="J118" s="105" t="s">
        <v>10</v>
      </c>
      <c r="K118" s="105" t="s">
        <v>10</v>
      </c>
      <c r="L118" s="105" t="s">
        <v>10</v>
      </c>
      <c r="M118" s="105" t="s">
        <v>10</v>
      </c>
      <c r="N118" s="105" t="s">
        <v>10</v>
      </c>
      <c r="O118" s="105" t="s">
        <v>10</v>
      </c>
      <c r="P118" s="105" t="s">
        <v>10</v>
      </c>
      <c r="Q118" s="105" t="s">
        <v>10</v>
      </c>
      <c r="R118" s="277">
        <v>675062</v>
      </c>
      <c r="S118" s="277">
        <v>814117</v>
      </c>
      <c r="T118" s="277">
        <v>723768</v>
      </c>
      <c r="U118" s="406">
        <f>(R118+S118+T118)/3/8760</f>
        <v>84.206506849315062</v>
      </c>
      <c r="V118" s="316"/>
      <c r="W118" s="401" t="s">
        <v>10</v>
      </c>
      <c r="X118" s="275"/>
      <c r="Y118" s="275"/>
      <c r="AB118" s="319"/>
      <c r="AE118" s="160"/>
    </row>
    <row r="119" spans="1:31">
      <c r="C119" s="276"/>
      <c r="E119" s="91"/>
      <c r="F119" s="91"/>
      <c r="G119" s="91"/>
      <c r="H119" s="91"/>
      <c r="I119" s="91"/>
      <c r="J119" s="91"/>
      <c r="K119" s="177"/>
      <c r="L119" s="91"/>
      <c r="M119" s="277"/>
      <c r="N119" s="277"/>
      <c r="O119" s="277"/>
      <c r="P119" s="277"/>
      <c r="Q119" s="277"/>
      <c r="R119" s="277"/>
      <c r="S119" s="277"/>
      <c r="T119" s="277"/>
      <c r="U119" s="406"/>
      <c r="V119" s="316"/>
      <c r="W119" s="311"/>
      <c r="X119" s="275"/>
      <c r="Y119" s="275"/>
      <c r="AE119" s="160"/>
    </row>
    <row r="120" spans="1:31">
      <c r="A120" s="164" t="s">
        <v>324</v>
      </c>
      <c r="C120" s="276"/>
      <c r="E120" s="91"/>
      <c r="F120" s="91"/>
      <c r="G120" s="91"/>
      <c r="H120" s="91"/>
      <c r="I120" s="91"/>
      <c r="J120" s="91"/>
      <c r="K120" s="177"/>
      <c r="L120" s="91"/>
      <c r="M120" s="277"/>
      <c r="N120" s="277"/>
      <c r="O120" s="277"/>
      <c r="P120" s="277"/>
      <c r="Q120" s="277"/>
      <c r="R120" s="277"/>
      <c r="S120" s="277"/>
      <c r="T120" s="277"/>
      <c r="U120" s="406"/>
      <c r="V120" s="316"/>
      <c r="W120" s="311"/>
      <c r="X120" s="275"/>
      <c r="Y120" s="275"/>
      <c r="AE120" s="160"/>
    </row>
    <row r="121" spans="1:31">
      <c r="B121" s="160" t="s">
        <v>446</v>
      </c>
      <c r="C121" s="279" t="s">
        <v>10</v>
      </c>
      <c r="D121" s="105" t="s">
        <v>10</v>
      </c>
      <c r="E121" s="105" t="s">
        <v>10</v>
      </c>
      <c r="F121" s="105" t="s">
        <v>10</v>
      </c>
      <c r="G121" s="105" t="s">
        <v>10</v>
      </c>
      <c r="H121" s="105" t="s">
        <v>10</v>
      </c>
      <c r="I121" s="105" t="s">
        <v>10</v>
      </c>
      <c r="J121" s="105" t="s">
        <v>10</v>
      </c>
      <c r="K121" s="105" t="s">
        <v>10</v>
      </c>
      <c r="L121" s="105" t="s">
        <v>10</v>
      </c>
      <c r="M121" s="105" t="s">
        <v>10</v>
      </c>
      <c r="N121" s="105" t="s">
        <v>10</v>
      </c>
      <c r="O121" s="277">
        <v>70093</v>
      </c>
      <c r="P121" s="277">
        <v>257527</v>
      </c>
      <c r="Q121" s="277">
        <v>307316</v>
      </c>
      <c r="R121" s="277">
        <v>260107</v>
      </c>
      <c r="S121" s="277">
        <v>302563</v>
      </c>
      <c r="T121" s="277">
        <v>256730</v>
      </c>
      <c r="U121" s="406">
        <f>(R121+S121+T121)/3/8760</f>
        <v>31.17960426179604</v>
      </c>
      <c r="V121" s="316">
        <f>(O121+P121+Q121)/3/8760</f>
        <v>24.160426179604261</v>
      </c>
      <c r="W121" s="401" t="s">
        <v>10</v>
      </c>
      <c r="X121" s="275"/>
      <c r="Y121" s="275"/>
      <c r="Z121" s="160">
        <v>80</v>
      </c>
      <c r="AB121" s="319">
        <f t="shared" ref="AB121" si="13">V121/Z121</f>
        <v>0.30200532724505325</v>
      </c>
      <c r="AE121" s="160"/>
    </row>
    <row r="122" spans="1:31">
      <c r="C122" s="279"/>
      <c r="D122" s="105"/>
      <c r="E122" s="105"/>
      <c r="F122" s="105"/>
      <c r="G122" s="105"/>
      <c r="H122" s="105"/>
      <c r="I122" s="105"/>
      <c r="J122" s="105"/>
      <c r="K122" s="105"/>
      <c r="L122" s="105"/>
      <c r="M122" s="105"/>
      <c r="N122" s="105"/>
      <c r="O122" s="277"/>
      <c r="P122" s="277"/>
      <c r="Q122" s="277"/>
      <c r="R122" s="277"/>
      <c r="S122" s="277"/>
      <c r="T122" s="277"/>
      <c r="U122" s="406"/>
      <c r="V122" s="316"/>
      <c r="W122" s="401"/>
      <c r="X122" s="275"/>
      <c r="Y122" s="275"/>
      <c r="AB122" s="319"/>
      <c r="AE122" s="160"/>
    </row>
    <row r="123" spans="1:31">
      <c r="A123" s="164" t="s">
        <v>108</v>
      </c>
      <c r="C123" s="276"/>
      <c r="U123" s="276"/>
      <c r="V123" s="316"/>
      <c r="W123" s="312"/>
      <c r="X123" s="275"/>
      <c r="Y123" s="275"/>
      <c r="AE123" s="160"/>
    </row>
    <row r="124" spans="1:31" ht="14.25">
      <c r="B124" s="160" t="s">
        <v>277</v>
      </c>
      <c r="C124" s="276">
        <v>1076089</v>
      </c>
      <c r="D124" s="160">
        <v>1088593</v>
      </c>
      <c r="E124" s="91">
        <v>1069901</v>
      </c>
      <c r="F124" s="91">
        <v>993385</v>
      </c>
      <c r="G124" s="91">
        <v>1033265</v>
      </c>
      <c r="H124" s="91">
        <v>1262600</v>
      </c>
      <c r="I124" s="91">
        <v>1128646</v>
      </c>
      <c r="J124" s="91">
        <v>1067271</v>
      </c>
      <c r="K124" s="91">
        <v>1159340</v>
      </c>
      <c r="L124" s="91">
        <v>1073292</v>
      </c>
      <c r="M124" s="277">
        <v>1068156</v>
      </c>
      <c r="N124" s="277">
        <v>754899</v>
      </c>
      <c r="O124" s="277">
        <v>975718</v>
      </c>
      <c r="P124" s="277">
        <v>836964</v>
      </c>
      <c r="Q124" s="277">
        <v>962819</v>
      </c>
      <c r="R124" s="281">
        <v>987458</v>
      </c>
      <c r="S124" s="281">
        <v>997605</v>
      </c>
      <c r="T124" s="281" t="s">
        <v>448</v>
      </c>
      <c r="U124" s="406">
        <f>(R124+S124)/2/8760</f>
        <v>113.30268264840183</v>
      </c>
      <c r="V124" s="316">
        <f>(M124+N124+O124+P124+Q124)/5/8760</f>
        <v>104.98986301369862</v>
      </c>
      <c r="W124" s="311">
        <f>(H124+I124+J124+K124+L124)/5/8760</f>
        <v>129.93490867579908</v>
      </c>
      <c r="X124" s="275">
        <v>120.11947488584475</v>
      </c>
      <c r="Y124" s="275"/>
      <c r="Z124" s="160">
        <v>208</v>
      </c>
      <c r="AB124" s="319">
        <f t="shared" ref="AB124" si="14">V124/Z124</f>
        <v>0.50475895679662797</v>
      </c>
      <c r="AE124" s="160"/>
    </row>
    <row r="125" spans="1:31">
      <c r="C125" s="276"/>
      <c r="E125" s="91"/>
      <c r="F125" s="91"/>
      <c r="G125" s="91"/>
      <c r="H125" s="91"/>
      <c r="I125" s="91"/>
      <c r="J125" s="91"/>
      <c r="K125" s="91"/>
      <c r="L125" s="91"/>
      <c r="M125" s="277"/>
      <c r="N125" s="277"/>
      <c r="O125" s="277"/>
      <c r="P125" s="277"/>
      <c r="Q125" s="277"/>
      <c r="R125" s="281"/>
      <c r="S125" s="281"/>
      <c r="T125" s="281"/>
      <c r="U125" s="407"/>
      <c r="V125" s="316"/>
      <c r="W125" s="311"/>
      <c r="X125" s="275"/>
      <c r="Y125" s="275"/>
      <c r="AE125" s="160"/>
    </row>
    <row r="126" spans="1:31">
      <c r="A126" s="164" t="s">
        <v>304</v>
      </c>
      <c r="C126" s="276"/>
      <c r="E126" s="91"/>
      <c r="F126" s="91"/>
      <c r="G126" s="91"/>
      <c r="H126" s="91"/>
      <c r="I126" s="91"/>
      <c r="J126" s="91"/>
      <c r="K126" s="91"/>
      <c r="L126" s="91"/>
      <c r="M126" s="277"/>
      <c r="N126" s="277"/>
      <c r="O126" s="277"/>
      <c r="P126" s="277"/>
      <c r="Q126" s="277"/>
      <c r="R126" s="281"/>
      <c r="S126" s="281"/>
      <c r="T126" s="281"/>
      <c r="U126" s="407"/>
      <c r="V126" s="316"/>
      <c r="W126" s="311"/>
      <c r="X126" s="275"/>
      <c r="Y126" s="275"/>
      <c r="AE126" s="160"/>
    </row>
    <row r="127" spans="1:31">
      <c r="B127" s="160" t="s">
        <v>354</v>
      </c>
      <c r="C127" s="279" t="s">
        <v>10</v>
      </c>
      <c r="D127" s="105" t="s">
        <v>10</v>
      </c>
      <c r="E127" s="105" t="s">
        <v>10</v>
      </c>
      <c r="F127" s="105" t="s">
        <v>10</v>
      </c>
      <c r="G127" s="105" t="s">
        <v>10</v>
      </c>
      <c r="H127" s="105" t="s">
        <v>10</v>
      </c>
      <c r="I127" s="105" t="s">
        <v>10</v>
      </c>
      <c r="J127" s="105" t="s">
        <v>10</v>
      </c>
      <c r="K127" s="105" t="s">
        <v>10</v>
      </c>
      <c r="L127" s="105" t="s">
        <v>10</v>
      </c>
      <c r="M127" s="105" t="s">
        <v>10</v>
      </c>
      <c r="N127" s="105" t="s">
        <v>10</v>
      </c>
      <c r="O127" s="105" t="s">
        <v>10</v>
      </c>
      <c r="P127" s="277">
        <v>143</v>
      </c>
      <c r="Q127" s="277">
        <v>11622</v>
      </c>
      <c r="R127" s="281">
        <v>10974</v>
      </c>
      <c r="S127" s="281" t="s">
        <v>448</v>
      </c>
      <c r="T127" s="281">
        <v>10008</v>
      </c>
      <c r="U127" s="406">
        <f>(R127)/8760</f>
        <v>1.2527397260273974</v>
      </c>
      <c r="V127" s="316">
        <f>(P127+Q127)/2/8760</f>
        <v>0.67151826484018262</v>
      </c>
      <c r="W127" s="401" t="s">
        <v>10</v>
      </c>
      <c r="X127" s="275"/>
      <c r="Y127" s="275"/>
      <c r="Z127" s="160">
        <v>2.7</v>
      </c>
      <c r="AB127" s="319">
        <f t="shared" ref="AB127" si="15">V127/Z127</f>
        <v>0.24871046845932687</v>
      </c>
      <c r="AE127" s="160"/>
    </row>
    <row r="128" spans="1:31">
      <c r="C128" s="274"/>
      <c r="D128" s="96"/>
      <c r="E128" s="96"/>
      <c r="R128" s="281"/>
      <c r="S128" s="281"/>
      <c r="T128" s="281"/>
      <c r="U128" s="407"/>
      <c r="V128" s="316"/>
      <c r="W128" s="312"/>
      <c r="X128" s="275"/>
      <c r="Y128" s="275"/>
      <c r="AE128" s="160"/>
    </row>
    <row r="129" spans="1:31">
      <c r="A129" s="164" t="s">
        <v>252</v>
      </c>
      <c r="C129" s="276"/>
      <c r="U129" s="276"/>
      <c r="V129" s="316"/>
      <c r="W129" s="312"/>
      <c r="X129" s="275"/>
      <c r="Y129" s="275"/>
      <c r="AE129" s="160"/>
    </row>
    <row r="130" spans="1:31" ht="14.25">
      <c r="B130" s="160" t="s">
        <v>331</v>
      </c>
      <c r="C130" s="276">
        <v>14764749</v>
      </c>
      <c r="D130" s="160">
        <v>15840087</v>
      </c>
      <c r="E130" s="91">
        <v>16086749.997000001</v>
      </c>
      <c r="F130" s="91">
        <v>13154978</v>
      </c>
      <c r="G130" s="91">
        <v>16211861</v>
      </c>
      <c r="H130" s="91">
        <v>13025219</v>
      </c>
      <c r="I130" s="91">
        <v>12239405.183</v>
      </c>
      <c r="J130" s="91">
        <v>12727096</v>
      </c>
      <c r="K130" s="91">
        <v>13715503</v>
      </c>
      <c r="L130" s="91">
        <v>14844275</v>
      </c>
      <c r="M130" s="91">
        <v>13358656</v>
      </c>
      <c r="N130" s="91">
        <v>13337994</v>
      </c>
      <c r="O130" s="91">
        <v>12656682</v>
      </c>
      <c r="P130" s="91">
        <v>13407682</v>
      </c>
      <c r="Q130" s="91">
        <v>7935170</v>
      </c>
      <c r="R130" s="91">
        <v>10010332</v>
      </c>
      <c r="S130" s="91">
        <v>10860454</v>
      </c>
      <c r="T130" s="91">
        <v>10820444</v>
      </c>
      <c r="U130" s="406">
        <f>(R130+S130+T130)/3/8760</f>
        <v>1205.9067732115677</v>
      </c>
      <c r="V130" s="316">
        <f>(M130+N130+O130+P130+Q130)/5/8760</f>
        <v>1385.7576255707763</v>
      </c>
      <c r="W130" s="311">
        <f>(H130+I130+J130+K130+L130)/5/8760</f>
        <v>1519.440597785388</v>
      </c>
      <c r="X130" s="275">
        <v>1736.4937213926942</v>
      </c>
      <c r="Y130" s="275"/>
      <c r="Z130" s="160">
        <v>1480</v>
      </c>
      <c r="AB130" s="319">
        <f>V130/((2098+2098+2098+2098+1480)/5)</f>
        <v>0.70186265476639798</v>
      </c>
      <c r="AE130" s="160"/>
    </row>
    <row r="131" spans="1:31" ht="14.25">
      <c r="B131" s="160" t="s">
        <v>332</v>
      </c>
      <c r="C131" s="276">
        <v>1204206</v>
      </c>
      <c r="D131" s="160">
        <v>1186136</v>
      </c>
      <c r="E131" s="91">
        <v>1024555</v>
      </c>
      <c r="F131" s="91">
        <v>1075253</v>
      </c>
      <c r="G131" s="91">
        <v>961177.00000000012</v>
      </c>
      <c r="H131" s="91">
        <v>831047</v>
      </c>
      <c r="I131" s="91">
        <v>717844</v>
      </c>
      <c r="J131" s="91">
        <v>907870</v>
      </c>
      <c r="K131" s="91">
        <v>579688</v>
      </c>
      <c r="L131" s="91">
        <v>152834</v>
      </c>
      <c r="M131" s="105" t="s">
        <v>10</v>
      </c>
      <c r="N131" s="105" t="s">
        <v>10</v>
      </c>
      <c r="O131" s="105" t="s">
        <v>10</v>
      </c>
      <c r="P131" s="105" t="s">
        <v>10</v>
      </c>
      <c r="Q131" s="105" t="s">
        <v>10</v>
      </c>
      <c r="R131" s="105" t="s">
        <v>10</v>
      </c>
      <c r="S131" s="105" t="s">
        <v>10</v>
      </c>
      <c r="T131" s="105"/>
      <c r="U131" s="406">
        <v>0</v>
      </c>
      <c r="V131" s="406">
        <v>0</v>
      </c>
      <c r="W131" s="311">
        <f>(H131+I131+J131+K131+L131)/5/8760</f>
        <v>72.814680365296795</v>
      </c>
      <c r="X131" s="275">
        <v>124.45952054794519</v>
      </c>
      <c r="Y131" s="275"/>
      <c r="Z131" s="175" t="s">
        <v>289</v>
      </c>
      <c r="AB131" s="391" t="s">
        <v>398</v>
      </c>
      <c r="AD131" s="160"/>
      <c r="AE131" s="160"/>
    </row>
    <row r="132" spans="1:31">
      <c r="C132" s="276"/>
      <c r="U132" s="276"/>
      <c r="V132" s="316" t="s">
        <v>11</v>
      </c>
      <c r="W132" s="312"/>
      <c r="X132" s="275"/>
      <c r="Y132" s="275"/>
      <c r="AD132" s="160"/>
      <c r="AE132" s="160"/>
    </row>
    <row r="133" spans="1:31">
      <c r="A133" s="164" t="s">
        <v>68</v>
      </c>
      <c r="C133" s="276"/>
      <c r="U133" s="276"/>
      <c r="V133" s="316"/>
      <c r="W133" s="312"/>
      <c r="X133" s="275"/>
      <c r="Y133" s="275"/>
      <c r="AC133" s="160"/>
      <c r="AD133" s="160"/>
      <c r="AE133" s="160"/>
    </row>
    <row r="134" spans="1:31">
      <c r="B134" s="160" t="s">
        <v>326</v>
      </c>
      <c r="C134" s="276">
        <v>42985.998</v>
      </c>
      <c r="D134" s="160">
        <v>38901</v>
      </c>
      <c r="E134" s="91">
        <v>43402</v>
      </c>
      <c r="F134" s="91">
        <v>50830</v>
      </c>
      <c r="G134" s="91">
        <v>41868</v>
      </c>
      <c r="H134" s="91">
        <v>58260</v>
      </c>
      <c r="I134" s="91">
        <v>52467</v>
      </c>
      <c r="J134" s="91">
        <v>51995</v>
      </c>
      <c r="K134" s="91">
        <v>2025</v>
      </c>
      <c r="L134" s="91">
        <v>54847</v>
      </c>
      <c r="M134" s="277">
        <v>52297</v>
      </c>
      <c r="N134" s="277">
        <v>51090</v>
      </c>
      <c r="O134" s="277">
        <v>53530</v>
      </c>
      <c r="P134" s="277">
        <v>55765</v>
      </c>
      <c r="Q134" s="277">
        <v>54546</v>
      </c>
      <c r="R134" s="277">
        <v>50327</v>
      </c>
      <c r="S134" s="277">
        <v>45691</v>
      </c>
      <c r="T134" s="277">
        <v>43916</v>
      </c>
      <c r="U134" s="406">
        <f>(R134+S134+T134)/3/8760</f>
        <v>5.324733637747336</v>
      </c>
      <c r="V134" s="316">
        <f>(M134+N134+O134+P134+Q134)/5/8760</f>
        <v>6.1010958904109591</v>
      </c>
      <c r="W134" s="311">
        <f>(H134+I134+J134+K134+L134)/5/8760</f>
        <v>5.013561643835617</v>
      </c>
      <c r="X134" s="275">
        <v>4.976872100456621</v>
      </c>
      <c r="Y134" s="275"/>
      <c r="Z134" s="160">
        <v>7.5</v>
      </c>
      <c r="AB134" s="319">
        <f t="shared" ref="AB134" si="16">V134/Z134</f>
        <v>0.81347945205479455</v>
      </c>
      <c r="AD134" s="160"/>
      <c r="AE134" s="160"/>
    </row>
    <row r="135" spans="1:31">
      <c r="C135" s="276"/>
      <c r="E135" s="91"/>
      <c r="F135" s="91"/>
      <c r="G135" s="91"/>
      <c r="H135" s="91"/>
      <c r="I135" s="91"/>
      <c r="J135" s="91"/>
      <c r="K135" s="91"/>
      <c r="L135" s="91"/>
      <c r="M135" s="91"/>
      <c r="N135" s="91"/>
      <c r="O135" s="91"/>
      <c r="P135" s="91"/>
      <c r="Q135" s="91"/>
      <c r="R135" s="91"/>
      <c r="S135" s="91"/>
      <c r="T135" s="91"/>
      <c r="U135" s="409"/>
      <c r="V135" s="316"/>
      <c r="W135" s="312"/>
      <c r="X135" s="275"/>
      <c r="Y135" s="275"/>
      <c r="AB135" s="160"/>
      <c r="AD135" s="160"/>
      <c r="AE135" s="160"/>
    </row>
    <row r="136" spans="1:31">
      <c r="A136" s="164" t="s">
        <v>109</v>
      </c>
      <c r="C136" s="276"/>
      <c r="E136" s="91"/>
      <c r="F136" s="91"/>
      <c r="G136" s="91"/>
      <c r="H136" s="91"/>
      <c r="I136" s="91"/>
      <c r="J136" s="91"/>
      <c r="K136" s="91"/>
      <c r="L136" s="91"/>
      <c r="M136" s="91"/>
      <c r="N136" s="91"/>
      <c r="O136" s="91"/>
      <c r="P136" s="91"/>
      <c r="Q136" s="91"/>
      <c r="R136" s="91"/>
      <c r="S136" s="91"/>
      <c r="T136" s="91"/>
      <c r="U136" s="409"/>
      <c r="V136" s="316"/>
      <c r="W136" s="312"/>
      <c r="X136" s="275"/>
      <c r="Y136" s="275"/>
      <c r="AB136" s="160"/>
      <c r="AD136" s="160"/>
      <c r="AE136" s="160"/>
    </row>
    <row r="137" spans="1:31">
      <c r="B137" s="160" t="s">
        <v>363</v>
      </c>
      <c r="C137" s="279" t="s">
        <v>10</v>
      </c>
      <c r="D137" s="105" t="s">
        <v>10</v>
      </c>
      <c r="E137" s="105" t="s">
        <v>10</v>
      </c>
      <c r="F137" s="105" t="s">
        <v>10</v>
      </c>
      <c r="G137" s="105" t="s">
        <v>10</v>
      </c>
      <c r="H137" s="91">
        <v>22319</v>
      </c>
      <c r="I137" s="91">
        <v>33019</v>
      </c>
      <c r="J137" s="91">
        <v>29080</v>
      </c>
      <c r="K137" s="91">
        <v>28354</v>
      </c>
      <c r="L137" s="91">
        <v>25123</v>
      </c>
      <c r="M137" s="277">
        <v>24804</v>
      </c>
      <c r="N137" s="277">
        <v>29302</v>
      </c>
      <c r="O137" s="277">
        <v>31807</v>
      </c>
      <c r="P137" s="277">
        <v>25824</v>
      </c>
      <c r="Q137" s="277">
        <v>31073</v>
      </c>
      <c r="R137" s="277">
        <v>24416</v>
      </c>
      <c r="S137" s="277">
        <v>29721</v>
      </c>
      <c r="T137" s="277">
        <v>22908</v>
      </c>
      <c r="U137" s="406">
        <f>(R137+S137+T137)/3/8760</f>
        <v>2.9316971080669711</v>
      </c>
      <c r="V137" s="316">
        <f>(M137+N137+O137+P137+Q137)/5/8760</f>
        <v>3.2605022831050228</v>
      </c>
      <c r="W137" s="311">
        <f>(H137+I137+J137+K137+L137)/5/8760</f>
        <v>3.1482876712328767</v>
      </c>
      <c r="X137" s="278" t="s">
        <v>10</v>
      </c>
      <c r="Y137" s="278"/>
      <c r="Z137" s="160">
        <v>13</v>
      </c>
      <c r="AB137" s="319">
        <f t="shared" ref="AB137" si="17">V137/Z137</f>
        <v>0.25080786793115561</v>
      </c>
      <c r="AD137" s="160"/>
      <c r="AE137" s="160"/>
    </row>
    <row r="138" spans="1:31">
      <c r="C138" s="279"/>
      <c r="D138" s="105"/>
      <c r="E138" s="105"/>
      <c r="F138" s="105"/>
      <c r="G138" s="105"/>
      <c r="H138" s="91"/>
      <c r="I138" s="91"/>
      <c r="J138" s="91"/>
      <c r="K138" s="91"/>
      <c r="L138" s="91"/>
      <c r="M138" s="277"/>
      <c r="N138" s="277"/>
      <c r="O138" s="277"/>
      <c r="P138" s="277"/>
      <c r="Q138" s="277"/>
      <c r="R138" s="277"/>
      <c r="S138" s="277"/>
      <c r="T138" s="277"/>
      <c r="U138" s="406"/>
      <c r="V138" s="316"/>
      <c r="W138" s="311"/>
      <c r="X138" s="278"/>
      <c r="Y138" s="278"/>
      <c r="AB138" s="160"/>
      <c r="AD138" s="160"/>
      <c r="AE138" s="160"/>
    </row>
    <row r="139" spans="1:31">
      <c r="A139" s="164" t="s">
        <v>352</v>
      </c>
      <c r="C139" s="279"/>
      <c r="D139" s="105"/>
      <c r="E139" s="105"/>
      <c r="F139" s="105"/>
      <c r="G139" s="105"/>
      <c r="H139" s="91"/>
      <c r="I139" s="91"/>
      <c r="J139" s="91"/>
      <c r="K139" s="91"/>
      <c r="L139" s="91"/>
      <c r="M139" s="277"/>
      <c r="N139" s="277"/>
      <c r="O139" s="277"/>
      <c r="P139" s="277"/>
      <c r="Q139" s="277"/>
      <c r="R139" s="277"/>
      <c r="S139" s="277"/>
      <c r="T139" s="277"/>
      <c r="U139" s="406"/>
      <c r="V139" s="316"/>
      <c r="W139" s="311"/>
      <c r="X139" s="278"/>
      <c r="Y139" s="278"/>
      <c r="AB139" s="160"/>
      <c r="AD139" s="160"/>
      <c r="AE139" s="160"/>
    </row>
    <row r="140" spans="1:31">
      <c r="B140" s="160" t="s">
        <v>353</v>
      </c>
      <c r="C140" s="279" t="s">
        <v>10</v>
      </c>
      <c r="D140" s="105" t="s">
        <v>10</v>
      </c>
      <c r="E140" s="105" t="s">
        <v>10</v>
      </c>
      <c r="F140" s="105" t="s">
        <v>10</v>
      </c>
      <c r="G140" s="105" t="s">
        <v>10</v>
      </c>
      <c r="H140" s="105" t="s">
        <v>10</v>
      </c>
      <c r="I140" s="105" t="s">
        <v>10</v>
      </c>
      <c r="J140" s="105" t="s">
        <v>10</v>
      </c>
      <c r="K140" s="105" t="s">
        <v>10</v>
      </c>
      <c r="L140" s="105" t="s">
        <v>10</v>
      </c>
      <c r="M140" s="105" t="s">
        <v>10</v>
      </c>
      <c r="N140" s="105" t="s">
        <v>10</v>
      </c>
      <c r="O140" s="105" t="s">
        <v>10</v>
      </c>
      <c r="P140" s="277">
        <v>1062</v>
      </c>
      <c r="Q140" s="277">
        <v>5166</v>
      </c>
      <c r="R140" s="277">
        <v>4912</v>
      </c>
      <c r="S140" s="277">
        <v>5055</v>
      </c>
      <c r="T140" s="277">
        <v>4197</v>
      </c>
      <c r="U140" s="406">
        <f>(R140+S140+T140)/3/8760</f>
        <v>0.5389649923896499</v>
      </c>
      <c r="V140" s="316">
        <f>(P140+Q140)/2/8760</f>
        <v>0.35547945205479453</v>
      </c>
      <c r="W140" s="401" t="s">
        <v>10</v>
      </c>
      <c r="X140" s="278"/>
      <c r="Y140" s="278"/>
      <c r="Z140" s="160">
        <v>1.6</v>
      </c>
      <c r="AB140" s="319">
        <f t="shared" ref="AB140" si="18">V140/Z140</f>
        <v>0.22217465753424656</v>
      </c>
      <c r="AD140" s="160"/>
      <c r="AE140" s="160"/>
    </row>
    <row r="141" spans="1:31">
      <c r="C141" s="276"/>
      <c r="U141" s="276"/>
      <c r="V141" s="316"/>
      <c r="W141" s="312"/>
      <c r="X141" s="275"/>
      <c r="Y141" s="275"/>
      <c r="AD141" s="160"/>
      <c r="AE141" s="160"/>
    </row>
    <row r="142" spans="1:31">
      <c r="A142" s="179" t="s">
        <v>110</v>
      </c>
      <c r="C142" s="276"/>
      <c r="U142" s="276"/>
      <c r="V142" s="316"/>
      <c r="W142" s="312"/>
      <c r="X142" s="275"/>
      <c r="Y142" s="275"/>
      <c r="AA142" s="160"/>
      <c r="AD142" s="160"/>
      <c r="AE142" s="160"/>
    </row>
    <row r="143" spans="1:31" ht="14.25">
      <c r="B143" s="96" t="s">
        <v>333</v>
      </c>
      <c r="C143" s="276">
        <v>23528</v>
      </c>
      <c r="D143" s="160">
        <v>24481.002</v>
      </c>
      <c r="E143" s="91">
        <v>27311</v>
      </c>
      <c r="F143" s="91">
        <v>23094.720000000001</v>
      </c>
      <c r="G143" s="91">
        <v>21055.32</v>
      </c>
      <c r="H143" s="91">
        <v>24550</v>
      </c>
      <c r="I143" s="91">
        <v>22847</v>
      </c>
      <c r="J143" s="91">
        <v>24620</v>
      </c>
      <c r="K143" s="91">
        <v>24521</v>
      </c>
      <c r="L143" s="91">
        <v>20016</v>
      </c>
      <c r="M143" s="277">
        <v>22270</v>
      </c>
      <c r="N143" s="277">
        <v>11478</v>
      </c>
      <c r="O143" s="277">
        <v>22191</v>
      </c>
      <c r="P143" s="277">
        <v>23150</v>
      </c>
      <c r="Q143" s="277">
        <v>23877</v>
      </c>
      <c r="R143" s="277">
        <v>26730</v>
      </c>
      <c r="S143" s="277">
        <v>27924</v>
      </c>
      <c r="T143" s="277">
        <v>29018</v>
      </c>
      <c r="U143" s="406">
        <f>(R143+S143+T143)/3/8760</f>
        <v>3.1838660578386606</v>
      </c>
      <c r="V143" s="316">
        <f>(M143+N143+O143+P143+Q143)/5/8760</f>
        <v>2.3508219178082195</v>
      </c>
      <c r="W143" s="311">
        <f>(H143+I143+J143+K143+L143)/5/8760</f>
        <v>2.6610502283105024</v>
      </c>
      <c r="X143" s="275">
        <v>2.7276265296803657</v>
      </c>
      <c r="Y143" s="275"/>
      <c r="Z143" s="160">
        <v>9</v>
      </c>
      <c r="AA143" s="160"/>
      <c r="AB143" s="319">
        <f t="shared" ref="AB143" si="19">V143/Z143</f>
        <v>0.26120243531202436</v>
      </c>
      <c r="AD143" s="160"/>
      <c r="AE143" s="160"/>
    </row>
    <row r="144" spans="1:31">
      <c r="C144" s="276"/>
      <c r="U144" s="276"/>
      <c r="V144" s="316"/>
      <c r="W144" s="312"/>
      <c r="X144" s="275"/>
      <c r="Y144" s="275"/>
      <c r="AA144" s="160"/>
      <c r="AD144" s="160"/>
      <c r="AE144" s="160"/>
    </row>
    <row r="145" spans="1:31">
      <c r="A145" s="164" t="s">
        <v>434</v>
      </c>
      <c r="C145" s="276"/>
      <c r="U145" s="276"/>
      <c r="V145" s="316"/>
      <c r="W145" s="312"/>
      <c r="X145" s="275"/>
      <c r="Y145" s="275"/>
      <c r="AA145" s="160"/>
      <c r="AD145" s="160"/>
      <c r="AE145" s="160"/>
    </row>
    <row r="146" spans="1:31">
      <c r="B146" s="160" t="s">
        <v>111</v>
      </c>
      <c r="C146" s="276">
        <v>329710</v>
      </c>
      <c r="D146" s="160">
        <v>285725</v>
      </c>
      <c r="E146" s="91">
        <v>332402</v>
      </c>
      <c r="F146" s="91">
        <v>388180</v>
      </c>
      <c r="G146" s="91">
        <v>368871</v>
      </c>
      <c r="H146" s="91">
        <v>418733</v>
      </c>
      <c r="I146" s="91">
        <v>323718</v>
      </c>
      <c r="J146" s="91">
        <v>264915</v>
      </c>
      <c r="K146" s="91">
        <v>363024</v>
      </c>
      <c r="L146" s="91">
        <v>303339</v>
      </c>
      <c r="M146" s="277">
        <v>310096</v>
      </c>
      <c r="N146" s="277">
        <v>347272</v>
      </c>
      <c r="O146" s="277">
        <v>369392</v>
      </c>
      <c r="P146" s="277">
        <v>368878</v>
      </c>
      <c r="Q146" s="277">
        <v>342849</v>
      </c>
      <c r="R146" s="277">
        <v>247061</v>
      </c>
      <c r="S146" s="277">
        <v>235902</v>
      </c>
      <c r="T146" s="277">
        <v>276278</v>
      </c>
      <c r="U146" s="406">
        <f>(R146+S146+T146)/3/8760</f>
        <v>28.890449010654493</v>
      </c>
      <c r="V146" s="316">
        <f>(M146+N146+O146+P146+Q146)/5/8760</f>
        <v>39.691484018264845</v>
      </c>
      <c r="W146" s="311">
        <f>(H146+I146+J146+K146+L146)/5/8760</f>
        <v>38.212990867579904</v>
      </c>
      <c r="X146" s="275">
        <v>38.924383561643836</v>
      </c>
      <c r="Y146" s="275"/>
      <c r="Z146" s="160">
        <v>49.8</v>
      </c>
      <c r="AA146" s="160"/>
      <c r="AB146" s="319">
        <f t="shared" ref="AB146:AB148" si="20">V146/Z146</f>
        <v>0.79701775137078001</v>
      </c>
      <c r="AD146" s="160"/>
      <c r="AE146" s="160"/>
    </row>
    <row r="147" spans="1:31">
      <c r="B147" s="160" t="s">
        <v>112</v>
      </c>
      <c r="C147" s="276">
        <v>704920</v>
      </c>
      <c r="D147" s="160">
        <v>609731</v>
      </c>
      <c r="E147" s="91">
        <v>573386</v>
      </c>
      <c r="F147" s="91">
        <v>584252</v>
      </c>
      <c r="G147" s="91">
        <v>584252</v>
      </c>
      <c r="H147" s="91">
        <v>1224036</v>
      </c>
      <c r="I147" s="91">
        <v>1128780</v>
      </c>
      <c r="J147" s="91">
        <v>570460</v>
      </c>
      <c r="K147" s="91">
        <v>732827</v>
      </c>
      <c r="L147" s="91">
        <v>753359</v>
      </c>
      <c r="M147" s="277">
        <v>764592</v>
      </c>
      <c r="N147" s="277">
        <v>805283</v>
      </c>
      <c r="O147" s="277">
        <v>1239865</v>
      </c>
      <c r="P147" s="277">
        <v>1205315</v>
      </c>
      <c r="Q147" s="277">
        <v>1105657</v>
      </c>
      <c r="R147" s="277">
        <v>920418</v>
      </c>
      <c r="S147" s="277">
        <v>756133</v>
      </c>
      <c r="T147" s="277">
        <v>701189</v>
      </c>
      <c r="U147" s="406">
        <f>(R147+S147+T147)/3/8760</f>
        <v>90.477168949771695</v>
      </c>
      <c r="V147" s="316">
        <f>(M147+N147+O147+P147+Q147)/5/8760</f>
        <v>116.91123287671233</v>
      </c>
      <c r="W147" s="311">
        <f>(H147+I147+J147+K147+L147)/5/8760</f>
        <v>100.67264840182649</v>
      </c>
      <c r="X147" s="275">
        <v>69.784041095890402</v>
      </c>
      <c r="Y147" s="275"/>
      <c r="Z147" s="160">
        <v>185.3</v>
      </c>
      <c r="AA147" s="160"/>
      <c r="AB147" s="319">
        <f t="shared" si="20"/>
        <v>0.6309294812558679</v>
      </c>
      <c r="AD147" s="160"/>
      <c r="AE147" s="160"/>
    </row>
    <row r="148" spans="1:31">
      <c r="B148" s="160" t="s">
        <v>113</v>
      </c>
      <c r="C148" s="276">
        <v>475182</v>
      </c>
      <c r="D148" s="160">
        <v>380434</v>
      </c>
      <c r="E148" s="91">
        <v>769281</v>
      </c>
      <c r="F148" s="91">
        <v>898516</v>
      </c>
      <c r="G148" s="91">
        <v>830746</v>
      </c>
      <c r="H148" s="91">
        <v>1123986</v>
      </c>
      <c r="I148" s="91">
        <v>527731</v>
      </c>
      <c r="J148" s="91">
        <v>471034</v>
      </c>
      <c r="K148" s="91">
        <v>1095850</v>
      </c>
      <c r="L148" s="91">
        <v>744118</v>
      </c>
      <c r="M148" s="277">
        <v>690297</v>
      </c>
      <c r="N148" s="277">
        <v>1124349</v>
      </c>
      <c r="O148" s="277">
        <v>1059019</v>
      </c>
      <c r="P148" s="277">
        <v>913986</v>
      </c>
      <c r="Q148" s="277">
        <v>780391</v>
      </c>
      <c r="R148" s="277">
        <v>512187</v>
      </c>
      <c r="S148" s="277">
        <v>685935</v>
      </c>
      <c r="T148" s="277">
        <v>843964</v>
      </c>
      <c r="U148" s="406">
        <f>(R148+S148+T148)/3/8760</f>
        <v>77.704946727549469</v>
      </c>
      <c r="V148" s="316">
        <f>(M148+N148+O148+P148+Q148)/5/8760</f>
        <v>104.29319634703197</v>
      </c>
      <c r="W148" s="311">
        <f>(H148+I148+J148+K148+L148)/5/8760</f>
        <v>90.473036529680371</v>
      </c>
      <c r="X148" s="275">
        <v>76.578972602739725</v>
      </c>
      <c r="Y148" s="275"/>
      <c r="Z148" s="160">
        <v>250</v>
      </c>
      <c r="AA148" s="160"/>
      <c r="AB148" s="319">
        <f t="shared" si="20"/>
        <v>0.41717278538812785</v>
      </c>
      <c r="AD148" s="160"/>
      <c r="AE148" s="160"/>
    </row>
    <row r="149" spans="1:31">
      <c r="C149" s="276"/>
      <c r="U149" s="276"/>
      <c r="V149" s="316"/>
      <c r="W149" s="312"/>
      <c r="X149" s="275"/>
      <c r="Y149" s="275"/>
      <c r="AA149" s="160"/>
      <c r="AD149" s="160"/>
      <c r="AE149" s="160"/>
    </row>
    <row r="150" spans="1:31">
      <c r="A150" s="164" t="s">
        <v>72</v>
      </c>
      <c r="C150" s="274"/>
      <c r="D150" s="96"/>
      <c r="U150" s="276"/>
      <c r="V150" s="316"/>
      <c r="W150" s="312"/>
      <c r="X150" s="275"/>
      <c r="Y150" s="275"/>
      <c r="AA150" s="160"/>
      <c r="AD150" s="160"/>
      <c r="AE150" s="160"/>
    </row>
    <row r="151" spans="1:31">
      <c r="A151" s="180"/>
      <c r="B151" s="178" t="s">
        <v>114</v>
      </c>
      <c r="C151" s="181">
        <v>424898.24099999998</v>
      </c>
      <c r="D151" s="182">
        <v>428640.12800000003</v>
      </c>
      <c r="E151" s="182">
        <v>405714.55200000003</v>
      </c>
      <c r="F151" s="182">
        <v>449481.85200000001</v>
      </c>
      <c r="G151" s="182">
        <v>403000.45</v>
      </c>
      <c r="H151" s="182">
        <v>444292</v>
      </c>
      <c r="I151" s="182">
        <v>454126.61300000001</v>
      </c>
      <c r="J151" s="194">
        <v>448669</v>
      </c>
      <c r="K151" s="194">
        <v>404693</v>
      </c>
      <c r="L151" s="194">
        <v>500087</v>
      </c>
      <c r="M151" s="282">
        <v>452015.06199999998</v>
      </c>
      <c r="N151" s="282">
        <v>459443</v>
      </c>
      <c r="O151" s="282">
        <v>442910</v>
      </c>
      <c r="P151" s="282">
        <v>459719</v>
      </c>
      <c r="Q151" s="282">
        <v>459339</v>
      </c>
      <c r="R151" s="359">
        <v>454274</v>
      </c>
      <c r="S151" s="404">
        <v>459078</v>
      </c>
      <c r="T151" s="359">
        <v>490760</v>
      </c>
      <c r="U151" s="406">
        <f>(R151+S151+T151)/3/8760</f>
        <v>53.42891933028919</v>
      </c>
      <c r="V151" s="412">
        <f>(M151+N151+O151+P151+Q151)/5/8760</f>
        <v>51.904704611872141</v>
      </c>
      <c r="W151" s="311">
        <f>(H151+I151+J151+K151+L151)/5/8760</f>
        <v>51.412502579908669</v>
      </c>
      <c r="X151" s="275">
        <v>48.21313294520548</v>
      </c>
      <c r="Y151" s="331"/>
      <c r="Z151" s="182">
        <v>65</v>
      </c>
      <c r="AA151" s="160"/>
      <c r="AB151" s="319">
        <f t="shared" ref="AB151" si="21">V151/Z151</f>
        <v>0.7985339171057253</v>
      </c>
      <c r="AD151" s="160"/>
      <c r="AE151" s="160"/>
    </row>
    <row r="152" spans="1:31" ht="14.25">
      <c r="A152" s="183" t="s">
        <v>115</v>
      </c>
      <c r="B152" s="165"/>
      <c r="C152" s="276">
        <v>28215057.451999996</v>
      </c>
      <c r="D152" s="160">
        <v>28969903.249999996</v>
      </c>
      <c r="E152" s="160">
        <v>29367862.252630003</v>
      </c>
      <c r="F152" s="160">
        <v>26550700.219999999</v>
      </c>
      <c r="G152" s="160">
        <v>29501312.66</v>
      </c>
      <c r="H152" s="160">
        <v>29883251</v>
      </c>
      <c r="I152" s="160">
        <v>27564825.466000002</v>
      </c>
      <c r="J152" s="160">
        <f t="shared" ref="J152:T152" si="22">SUM(J13:J151)-J90</f>
        <v>27427547.460000001</v>
      </c>
      <c r="K152" s="160">
        <f t="shared" si="22"/>
        <v>30127445.253000002</v>
      </c>
      <c r="L152" s="160">
        <f t="shared" si="22"/>
        <v>29069100.713</v>
      </c>
      <c r="M152" s="160">
        <f t="shared" si="22"/>
        <v>27545759.767999999</v>
      </c>
      <c r="N152" s="160">
        <f t="shared" si="22"/>
        <v>27950063</v>
      </c>
      <c r="O152" s="160">
        <f t="shared" si="22"/>
        <v>27992874.999999996</v>
      </c>
      <c r="P152" s="160">
        <f t="shared" si="22"/>
        <v>27538900</v>
      </c>
      <c r="Q152" s="160">
        <f t="shared" si="22"/>
        <v>22928799</v>
      </c>
      <c r="R152" s="160">
        <f t="shared" si="22"/>
        <v>24417883</v>
      </c>
      <c r="S152" s="160">
        <f t="shared" si="22"/>
        <v>26213643</v>
      </c>
      <c r="T152" s="160">
        <f t="shared" si="22"/>
        <v>25290471</v>
      </c>
      <c r="U152" s="400">
        <f>SUM(U13:U151)-U90</f>
        <v>3005.4389079147641</v>
      </c>
      <c r="V152" s="400">
        <f>SUM(V13:V151)</f>
        <v>3230.7145715710021</v>
      </c>
      <c r="W152" s="400">
        <f>SUM(W13:W151)</f>
        <v>3463.4952427801104</v>
      </c>
      <c r="X152" s="184">
        <v>3278.151815417732</v>
      </c>
      <c r="Y152" s="275"/>
      <c r="Z152" s="164">
        <f>'Table E1'!F101</f>
        <v>7041.2999999999993</v>
      </c>
      <c r="AA152" s="327"/>
      <c r="AB152" s="339">
        <f>V152/Z152</f>
        <v>0.45882359387769339</v>
      </c>
    </row>
    <row r="153" spans="1:31">
      <c r="A153" s="160"/>
      <c r="C153" s="96"/>
      <c r="D153" s="96"/>
      <c r="E153" s="96"/>
      <c r="F153" s="96"/>
      <c r="G153" s="96"/>
      <c r="H153" s="96"/>
      <c r="I153" s="96"/>
      <c r="J153" s="96"/>
      <c r="K153" s="96"/>
      <c r="L153" s="96"/>
      <c r="M153" s="96"/>
      <c r="N153" s="96"/>
      <c r="O153" s="96"/>
      <c r="P153" s="96"/>
      <c r="Q153" s="96"/>
      <c r="R153" s="96"/>
      <c r="S153" s="96"/>
      <c r="T153" s="96"/>
      <c r="U153" s="96"/>
      <c r="V153" s="96"/>
      <c r="W153" s="96"/>
      <c r="AA153" s="160"/>
    </row>
    <row r="154" spans="1:31">
      <c r="A154" s="160"/>
      <c r="B154" s="160" t="s">
        <v>469</v>
      </c>
      <c r="C154" s="96"/>
      <c r="D154" s="96"/>
      <c r="E154" s="96"/>
      <c r="F154" s="96"/>
      <c r="G154" s="96"/>
      <c r="H154" s="96"/>
      <c r="I154" s="96"/>
      <c r="J154" s="96"/>
      <c r="K154" s="96"/>
      <c r="L154" s="96"/>
      <c r="M154" s="96"/>
      <c r="N154" s="96"/>
      <c r="O154" s="96"/>
      <c r="P154" s="96" t="s">
        <v>11</v>
      </c>
      <c r="Q154" s="96"/>
      <c r="R154" s="96"/>
      <c r="S154" s="96"/>
      <c r="T154" s="96"/>
      <c r="U154" s="96"/>
      <c r="V154" s="96"/>
      <c r="W154" s="96"/>
      <c r="AA154" s="160"/>
    </row>
    <row r="155" spans="1:31">
      <c r="A155" s="160"/>
      <c r="B155" s="92" t="s">
        <v>214</v>
      </c>
      <c r="C155" s="96"/>
      <c r="D155" s="96"/>
      <c r="E155" s="96"/>
      <c r="F155" s="96"/>
      <c r="G155" s="96"/>
      <c r="H155" s="96"/>
      <c r="I155" s="96"/>
      <c r="J155" s="96"/>
      <c r="K155" s="96"/>
      <c r="L155" s="96"/>
      <c r="M155" s="96"/>
      <c r="N155" s="96"/>
      <c r="O155" s="96"/>
      <c r="P155" s="96"/>
      <c r="Q155" s="96"/>
      <c r="R155" s="96"/>
      <c r="S155" s="96"/>
      <c r="T155" s="96"/>
      <c r="U155" s="96"/>
      <c r="V155" s="96"/>
      <c r="W155" s="96"/>
      <c r="AA155" s="160"/>
      <c r="AE155" s="326"/>
    </row>
    <row r="156" spans="1:31">
      <c r="A156" s="160"/>
      <c r="B156" s="92" t="s">
        <v>325</v>
      </c>
      <c r="C156" s="96"/>
      <c r="D156" s="96"/>
      <c r="E156" s="96"/>
      <c r="F156" s="96"/>
      <c r="G156" s="96"/>
      <c r="H156" s="96"/>
      <c r="I156" s="96"/>
      <c r="J156" s="96"/>
      <c r="K156" s="96"/>
      <c r="L156" s="96"/>
      <c r="M156" s="96"/>
      <c r="N156" s="96"/>
      <c r="O156" s="96"/>
      <c r="P156" s="96"/>
      <c r="Q156" s="96"/>
      <c r="R156" s="96"/>
      <c r="S156" s="96"/>
      <c r="T156" s="96"/>
      <c r="U156" s="96"/>
      <c r="V156" s="96"/>
      <c r="W156" s="96"/>
      <c r="AA156" s="160"/>
    </row>
    <row r="157" spans="1:31">
      <c r="A157" s="160"/>
      <c r="B157" s="92" t="s">
        <v>470</v>
      </c>
      <c r="C157" s="96"/>
      <c r="D157" s="96"/>
      <c r="E157" s="96"/>
      <c r="F157" s="96"/>
      <c r="G157" s="96"/>
      <c r="H157" s="96"/>
      <c r="I157" s="96"/>
      <c r="J157" s="96"/>
      <c r="K157" s="96"/>
      <c r="L157" s="96"/>
      <c r="M157" s="96"/>
      <c r="N157" s="96"/>
      <c r="O157" s="96"/>
      <c r="P157" s="96"/>
      <c r="Q157" s="96"/>
      <c r="R157" s="96"/>
      <c r="S157" s="96"/>
      <c r="T157" s="96"/>
      <c r="U157" s="96"/>
      <c r="V157" s="96"/>
      <c r="W157" s="96"/>
      <c r="AA157" s="160"/>
    </row>
    <row r="158" spans="1:31">
      <c r="A158" s="160"/>
      <c r="B158" s="494" t="s">
        <v>400</v>
      </c>
      <c r="C158" s="494"/>
      <c r="D158" s="494"/>
      <c r="E158" s="494"/>
      <c r="F158" s="494"/>
      <c r="G158" s="494"/>
      <c r="H158" s="494"/>
      <c r="I158" s="494"/>
      <c r="J158" s="494"/>
      <c r="K158" s="494"/>
      <c r="L158" s="494"/>
      <c r="M158" s="494"/>
      <c r="N158" s="494"/>
      <c r="O158" s="494"/>
      <c r="P158" s="494"/>
      <c r="Q158" s="494"/>
      <c r="R158" s="494"/>
      <c r="S158" s="494"/>
      <c r="T158" s="494"/>
      <c r="U158" s="494"/>
      <c r="V158" s="494"/>
      <c r="W158" s="494"/>
      <c r="X158" s="494"/>
      <c r="Y158" s="271"/>
      <c r="AA158" s="160"/>
      <c r="AB158" s="160"/>
      <c r="AC158" s="160"/>
      <c r="AD158" s="160"/>
      <c r="AE158" s="160"/>
    </row>
    <row r="159" spans="1:31" ht="13.9" customHeight="1">
      <c r="A159" s="160"/>
      <c r="B159" s="494" t="s">
        <v>471</v>
      </c>
      <c r="C159" s="494"/>
      <c r="D159" s="494"/>
      <c r="E159" s="494"/>
      <c r="F159" s="494"/>
      <c r="G159" s="494"/>
      <c r="H159" s="494"/>
      <c r="I159" s="494"/>
      <c r="J159" s="494"/>
      <c r="K159" s="494"/>
      <c r="L159" s="494"/>
      <c r="M159" s="494"/>
      <c r="N159" s="494"/>
      <c r="O159" s="494"/>
      <c r="P159" s="494"/>
      <c r="Q159" s="494"/>
      <c r="R159" s="494"/>
      <c r="S159" s="494"/>
      <c r="T159" s="494"/>
      <c r="U159" s="494"/>
      <c r="V159" s="494"/>
      <c r="W159" s="494"/>
      <c r="X159" s="494"/>
      <c r="Y159" s="271"/>
      <c r="AA159" s="160"/>
      <c r="AB159" s="160"/>
      <c r="AC159" s="160"/>
      <c r="AD159" s="160"/>
      <c r="AE159" s="160"/>
    </row>
    <row r="160" spans="1:31" ht="13.9" customHeight="1">
      <c r="A160" s="160"/>
      <c r="B160" s="494" t="s">
        <v>472</v>
      </c>
      <c r="C160" s="494"/>
      <c r="D160" s="494"/>
      <c r="E160" s="494"/>
      <c r="F160" s="494"/>
      <c r="G160" s="494"/>
      <c r="H160" s="494"/>
      <c r="I160" s="494"/>
      <c r="J160" s="494"/>
      <c r="K160" s="494"/>
      <c r="L160" s="494"/>
      <c r="M160" s="494"/>
      <c r="N160" s="494"/>
      <c r="O160" s="494"/>
      <c r="P160" s="494"/>
      <c r="Q160" s="494"/>
      <c r="R160" s="494"/>
      <c r="S160" s="271"/>
      <c r="T160" s="271"/>
      <c r="U160" s="271"/>
      <c r="V160" s="271"/>
      <c r="W160" s="271"/>
      <c r="X160" s="271"/>
      <c r="Y160" s="271"/>
      <c r="AA160" s="160"/>
      <c r="AB160" s="160"/>
      <c r="AC160" s="160"/>
      <c r="AD160" s="160"/>
      <c r="AE160" s="160"/>
    </row>
    <row r="161" spans="1:31" ht="13.9" customHeight="1">
      <c r="A161" s="160"/>
      <c r="B161" s="494"/>
      <c r="C161" s="494"/>
      <c r="D161" s="494"/>
      <c r="E161" s="494"/>
      <c r="F161" s="494"/>
      <c r="G161" s="494"/>
      <c r="H161" s="494"/>
      <c r="I161" s="494"/>
      <c r="J161" s="494"/>
      <c r="K161" s="494"/>
      <c r="L161" s="494"/>
      <c r="M161" s="494"/>
      <c r="N161" s="494"/>
      <c r="O161" s="494"/>
      <c r="P161" s="494"/>
      <c r="Q161" s="494"/>
      <c r="R161" s="494"/>
      <c r="S161" s="271"/>
      <c r="T161" s="271"/>
      <c r="U161" s="271"/>
      <c r="V161" s="271"/>
      <c r="W161" s="271"/>
      <c r="X161" s="271"/>
      <c r="Y161" s="271"/>
      <c r="AA161" s="160"/>
      <c r="AB161" s="160"/>
      <c r="AC161" s="160"/>
      <c r="AD161" s="160"/>
      <c r="AE161" s="160"/>
    </row>
    <row r="162" spans="1:31" ht="13.9" customHeight="1">
      <c r="A162" s="160"/>
      <c r="B162" s="271"/>
      <c r="C162" s="271"/>
      <c r="D162" s="271"/>
      <c r="E162" s="271"/>
      <c r="F162" s="271"/>
      <c r="G162" s="271"/>
      <c r="H162" s="271"/>
      <c r="I162" s="271"/>
      <c r="J162" s="271"/>
      <c r="K162" s="271"/>
      <c r="L162" s="271"/>
      <c r="M162" s="271"/>
      <c r="N162" s="271"/>
      <c r="O162" s="271"/>
      <c r="P162" s="271"/>
      <c r="Q162" s="271"/>
      <c r="R162" s="271"/>
      <c r="S162" s="271"/>
      <c r="T162" s="271"/>
      <c r="U162" s="271"/>
      <c r="V162" s="271"/>
      <c r="W162" s="271"/>
      <c r="X162" s="271"/>
      <c r="Y162" s="271"/>
      <c r="AA162" s="160"/>
      <c r="AB162" s="160"/>
      <c r="AC162" s="160"/>
      <c r="AD162" s="160"/>
      <c r="AE162" s="160"/>
    </row>
    <row r="163" spans="1:31" ht="14.25">
      <c r="A163" s="185">
        <v>1</v>
      </c>
      <c r="B163" s="160" t="s">
        <v>253</v>
      </c>
      <c r="C163" s="96"/>
      <c r="D163" s="96"/>
      <c r="AB163" s="160"/>
      <c r="AC163" s="160"/>
      <c r="AD163" s="160"/>
      <c r="AE163" s="160"/>
    </row>
    <row r="164" spans="1:31" ht="14.25">
      <c r="A164" s="185">
        <v>2</v>
      </c>
      <c r="B164" s="160" t="s">
        <v>364</v>
      </c>
      <c r="C164" s="96"/>
      <c r="D164" s="96"/>
      <c r="AB164" s="160"/>
      <c r="AC164" s="160"/>
      <c r="AD164" s="160"/>
      <c r="AE164" s="160"/>
    </row>
    <row r="165" spans="1:31" ht="52.5" customHeight="1">
      <c r="A165" s="356">
        <v>3</v>
      </c>
      <c r="B165" s="494" t="s">
        <v>436</v>
      </c>
      <c r="C165" s="494"/>
      <c r="D165" s="494"/>
      <c r="E165" s="494"/>
      <c r="F165" s="494"/>
      <c r="G165" s="494"/>
      <c r="H165" s="494"/>
      <c r="I165" s="494"/>
      <c r="J165" s="494"/>
      <c r="K165" s="494"/>
      <c r="L165" s="494"/>
      <c r="M165" s="494"/>
      <c r="N165" s="494"/>
      <c r="AB165" s="160"/>
      <c r="AC165" s="160"/>
      <c r="AD165" s="160"/>
      <c r="AE165" s="160"/>
    </row>
    <row r="166" spans="1:31" ht="14.25">
      <c r="A166" s="185">
        <v>4</v>
      </c>
      <c r="B166" s="160" t="s">
        <v>116</v>
      </c>
      <c r="C166" s="96"/>
      <c r="D166" s="96"/>
      <c r="AB166" s="160"/>
      <c r="AC166" s="160"/>
      <c r="AD166" s="160"/>
      <c r="AE166" s="160"/>
    </row>
    <row r="167" spans="1:31" ht="14.25">
      <c r="A167" s="185">
        <v>5</v>
      </c>
      <c r="B167" s="160" t="s">
        <v>117</v>
      </c>
      <c r="AB167" s="160"/>
      <c r="AC167" s="160"/>
      <c r="AD167" s="160"/>
      <c r="AE167" s="160"/>
    </row>
    <row r="168" spans="1:31" ht="14.25">
      <c r="A168" s="185">
        <v>6</v>
      </c>
      <c r="B168" s="160" t="s">
        <v>474</v>
      </c>
      <c r="AB168" s="160"/>
      <c r="AC168" s="160"/>
      <c r="AD168" s="160"/>
      <c r="AE168" s="160"/>
    </row>
    <row r="169" spans="1:31" ht="14.25">
      <c r="A169" s="185">
        <v>7</v>
      </c>
      <c r="B169" s="160" t="s">
        <v>425</v>
      </c>
      <c r="E169" s="186"/>
      <c r="AB169" s="160"/>
      <c r="AC169" s="160"/>
      <c r="AD169" s="160"/>
      <c r="AE169" s="160"/>
    </row>
    <row r="170" spans="1:31" ht="14.25">
      <c r="A170" s="185">
        <v>8</v>
      </c>
      <c r="B170" s="160" t="s">
        <v>308</v>
      </c>
      <c r="AB170" s="160"/>
      <c r="AC170" s="160"/>
      <c r="AD170" s="160"/>
      <c r="AE170" s="160"/>
    </row>
    <row r="171" spans="1:31" ht="14.25">
      <c r="A171" s="185">
        <v>9</v>
      </c>
      <c r="B171" s="160" t="s">
        <v>401</v>
      </c>
      <c r="E171" s="186"/>
      <c r="AB171" s="160"/>
      <c r="AC171" s="160"/>
      <c r="AD171" s="160"/>
      <c r="AE171" s="160"/>
    </row>
    <row r="172" spans="1:31" ht="14.25">
      <c r="A172" s="185">
        <v>10</v>
      </c>
      <c r="B172" s="160" t="s">
        <v>309</v>
      </c>
      <c r="AB172" s="160"/>
      <c r="AC172" s="160"/>
      <c r="AD172" s="160"/>
      <c r="AE172" s="160"/>
    </row>
    <row r="173" spans="1:31" ht="14.25">
      <c r="A173" s="185">
        <v>11</v>
      </c>
      <c r="B173" s="160" t="s">
        <v>374</v>
      </c>
      <c r="E173" s="186"/>
      <c r="AB173" s="160"/>
      <c r="AC173" s="160"/>
      <c r="AD173" s="160"/>
      <c r="AE173" s="160"/>
    </row>
    <row r="174" spans="1:31" ht="26.45" customHeight="1">
      <c r="A174" s="185">
        <v>12</v>
      </c>
      <c r="B174" s="494" t="s">
        <v>475</v>
      </c>
      <c r="C174" s="494"/>
      <c r="D174" s="494"/>
      <c r="E174" s="494"/>
      <c r="F174" s="494"/>
      <c r="G174" s="494"/>
      <c r="H174" s="494"/>
      <c r="I174" s="494"/>
      <c r="J174" s="494"/>
      <c r="K174" s="494"/>
      <c r="L174" s="494"/>
      <c r="M174" s="494"/>
      <c r="N174" s="494"/>
      <c r="O174" s="494"/>
      <c r="P174" s="494"/>
      <c r="AB174" s="160"/>
      <c r="AC174" s="160"/>
      <c r="AD174" s="160"/>
      <c r="AE174" s="160"/>
    </row>
    <row r="175" spans="1:31" ht="14.25">
      <c r="A175" s="185">
        <v>13</v>
      </c>
      <c r="B175" s="160" t="s">
        <v>290</v>
      </c>
      <c r="E175" s="186"/>
      <c r="AB175" s="160"/>
      <c r="AC175" s="160"/>
      <c r="AD175" s="160"/>
      <c r="AE175" s="160"/>
    </row>
    <row r="176" spans="1:31" ht="14.25">
      <c r="A176" s="185">
        <v>14</v>
      </c>
      <c r="B176" s="160" t="s">
        <v>118</v>
      </c>
      <c r="E176" s="186"/>
      <c r="AB176" s="160"/>
      <c r="AC176" s="160"/>
      <c r="AD176" s="160"/>
      <c r="AE176" s="160"/>
    </row>
    <row r="177" spans="1:31" ht="14.25">
      <c r="A177" s="185">
        <v>15</v>
      </c>
      <c r="B177" s="160" t="s">
        <v>389</v>
      </c>
    </row>
    <row r="178" spans="1:31" ht="14.25">
      <c r="A178" s="185">
        <v>16</v>
      </c>
      <c r="B178" s="160" t="s">
        <v>418</v>
      </c>
      <c r="AB178" s="160"/>
      <c r="AC178" s="160"/>
      <c r="AD178" s="160"/>
      <c r="AE178" s="160"/>
    </row>
    <row r="179" spans="1:31" ht="14.25">
      <c r="A179" s="185"/>
      <c r="AB179" s="160"/>
      <c r="AC179" s="160"/>
      <c r="AD179" s="160"/>
      <c r="AE179" s="160"/>
    </row>
    <row r="180" spans="1:31" ht="13.15" customHeight="1">
      <c r="A180" s="495" t="s">
        <v>606</v>
      </c>
      <c r="B180" s="495"/>
      <c r="C180" s="495"/>
      <c r="D180" s="495"/>
      <c r="E180" s="495"/>
      <c r="F180" s="495"/>
      <c r="G180" s="495"/>
      <c r="H180" s="495"/>
      <c r="I180" s="495"/>
      <c r="J180" s="495"/>
      <c r="K180" s="495"/>
      <c r="L180" s="495"/>
      <c r="M180" s="495"/>
      <c r="N180" s="495"/>
      <c r="O180" s="495"/>
      <c r="P180" s="495"/>
      <c r="Q180" s="495"/>
      <c r="R180" s="495"/>
      <c r="S180" s="495"/>
      <c r="T180" s="495"/>
      <c r="U180" s="495"/>
      <c r="V180" s="495"/>
      <c r="W180" s="495"/>
      <c r="X180" s="495"/>
      <c r="Y180" s="495"/>
      <c r="Z180" s="495"/>
      <c r="AB180" s="160"/>
      <c r="AC180" s="160"/>
      <c r="AD180" s="160"/>
      <c r="AE180" s="160"/>
    </row>
    <row r="181" spans="1:31">
      <c r="A181" s="495"/>
      <c r="B181" s="495"/>
      <c r="C181" s="495"/>
      <c r="D181" s="495"/>
      <c r="E181" s="495"/>
      <c r="F181" s="495"/>
      <c r="G181" s="495"/>
      <c r="H181" s="495"/>
      <c r="I181" s="495"/>
      <c r="J181" s="495"/>
      <c r="K181" s="495"/>
      <c r="L181" s="495"/>
      <c r="M181" s="495"/>
      <c r="N181" s="495"/>
      <c r="O181" s="495"/>
      <c r="P181" s="495"/>
      <c r="Q181" s="495"/>
      <c r="R181" s="495"/>
      <c r="S181" s="495"/>
      <c r="T181" s="495"/>
      <c r="U181" s="495"/>
      <c r="V181" s="495"/>
      <c r="W181" s="495"/>
      <c r="X181" s="495"/>
      <c r="Y181" s="495"/>
      <c r="Z181" s="495"/>
    </row>
    <row r="182" spans="1:31" ht="15.75" customHeight="1">
      <c r="A182" s="495"/>
      <c r="B182" s="495"/>
      <c r="C182" s="495"/>
      <c r="D182" s="495"/>
      <c r="E182" s="495"/>
      <c r="F182" s="495"/>
      <c r="G182" s="495"/>
      <c r="H182" s="495"/>
      <c r="I182" s="495"/>
      <c r="J182" s="495"/>
      <c r="K182" s="495"/>
      <c r="L182" s="495"/>
      <c r="M182" s="495"/>
      <c r="N182" s="495"/>
      <c r="O182" s="495"/>
      <c r="P182" s="495"/>
      <c r="Q182" s="495"/>
      <c r="R182" s="495"/>
      <c r="S182" s="495"/>
      <c r="T182" s="495"/>
      <c r="U182" s="495"/>
      <c r="V182" s="495"/>
      <c r="W182" s="495"/>
      <c r="X182" s="495"/>
      <c r="Y182" s="495"/>
      <c r="Z182" s="495"/>
    </row>
    <row r="185" spans="1:31">
      <c r="A185" s="160"/>
      <c r="X185" s="160"/>
      <c r="Y185" s="160"/>
      <c r="AA185" s="160"/>
      <c r="AB185" s="160"/>
      <c r="AC185" s="160"/>
      <c r="AD185" s="160"/>
      <c r="AE185" s="160"/>
    </row>
    <row r="186" spans="1:31">
      <c r="A186" s="160"/>
      <c r="X186" s="160"/>
      <c r="Y186" s="160"/>
      <c r="AA186" s="160"/>
      <c r="AB186" s="160"/>
      <c r="AC186" s="160"/>
      <c r="AD186" s="160"/>
      <c r="AE186" s="160"/>
    </row>
  </sheetData>
  <mergeCells count="11">
    <mergeCell ref="AB3:AB4"/>
    <mergeCell ref="A1:Z1"/>
    <mergeCell ref="B158:X158"/>
    <mergeCell ref="A180:Z182"/>
    <mergeCell ref="Z3:Z4"/>
    <mergeCell ref="V3:X3"/>
    <mergeCell ref="B159:X159"/>
    <mergeCell ref="B165:N165"/>
    <mergeCell ref="B174:P174"/>
    <mergeCell ref="B160:R161"/>
    <mergeCell ref="A9:B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3"/>
  <sheetViews>
    <sheetView zoomScaleNormal="100" workbookViewId="0">
      <selection activeCell="E45" sqref="E45"/>
    </sheetView>
  </sheetViews>
  <sheetFormatPr defaultColWidth="7.85546875" defaultRowHeight="12.75"/>
  <cols>
    <col min="1" max="1" width="57" style="96" customWidth="1"/>
    <col min="2" max="2" width="9.28515625" style="95" customWidth="1"/>
    <col min="3" max="3" width="11.5703125" style="96" customWidth="1"/>
    <col min="4" max="5" width="10.140625" style="96" customWidth="1"/>
    <col min="6" max="6" width="4.140625" style="96" customWidth="1"/>
    <col min="7" max="7" width="38.85546875" style="96" customWidth="1"/>
    <col min="8" max="8" width="6.7109375" style="96" customWidth="1"/>
    <col min="9" max="9" width="8.42578125" style="96" customWidth="1"/>
    <col min="10" max="10" width="7.85546875" style="96" customWidth="1"/>
    <col min="11" max="11" width="8.140625" style="96" customWidth="1"/>
    <col min="12" max="13" width="7.85546875" style="96"/>
    <col min="14" max="14" width="6.7109375" style="96" customWidth="1"/>
    <col min="15" max="15" width="8" style="96" bestFit="1" customWidth="1"/>
    <col min="16" max="16" width="6.7109375" style="96" customWidth="1"/>
    <col min="17" max="17" width="7.7109375" style="96" customWidth="1"/>
    <col min="18" max="18" width="7.85546875" style="96"/>
    <col min="19" max="19" width="9.42578125" style="96" customWidth="1"/>
    <col min="20" max="20" width="10.42578125" style="96" customWidth="1"/>
    <col min="21" max="22" width="10.7109375" style="96" customWidth="1"/>
    <col min="23" max="23" width="8" style="96" bestFit="1" customWidth="1"/>
    <col min="24" max="24" width="9" style="96" bestFit="1" customWidth="1"/>
    <col min="25" max="16384" width="7.85546875" style="96"/>
  </cols>
  <sheetData>
    <row r="1" spans="1:24" ht="21">
      <c r="A1" s="94" t="s">
        <v>549</v>
      </c>
      <c r="I1" s="97"/>
    </row>
    <row r="2" spans="1:24" ht="18">
      <c r="A2" s="94"/>
      <c r="I2" s="97"/>
    </row>
    <row r="3" spans="1:24">
      <c r="A3" s="104" t="s">
        <v>461</v>
      </c>
    </row>
    <row r="4" spans="1:24" ht="13.15" customHeight="1">
      <c r="B4" s="289"/>
    </row>
    <row r="5" spans="1:24" ht="14.25">
      <c r="A5" s="99" t="s">
        <v>293</v>
      </c>
      <c r="B5" s="392" t="s">
        <v>222</v>
      </c>
      <c r="C5" s="392" t="s">
        <v>295</v>
      </c>
      <c r="D5" s="392" t="s">
        <v>387</v>
      </c>
      <c r="E5" s="392" t="s">
        <v>594</v>
      </c>
      <c r="G5" s="98" t="s">
        <v>548</v>
      </c>
      <c r="H5" s="98"/>
      <c r="I5" s="89"/>
      <c r="J5" s="89"/>
      <c r="K5" s="89"/>
      <c r="L5" s="89"/>
      <c r="M5" s="89"/>
    </row>
    <row r="6" spans="1:24">
      <c r="A6" s="102"/>
    </row>
    <row r="7" spans="1:24">
      <c r="B7" s="500" t="s">
        <v>547</v>
      </c>
      <c r="C7" s="500"/>
      <c r="D7" s="500"/>
      <c r="E7" s="500"/>
      <c r="G7" s="89"/>
      <c r="H7" s="504" t="s">
        <v>574</v>
      </c>
      <c r="I7" s="504"/>
      <c r="J7" s="101" t="s">
        <v>387</v>
      </c>
      <c r="L7" s="101" t="s">
        <v>295</v>
      </c>
      <c r="N7" s="101" t="s">
        <v>222</v>
      </c>
      <c r="P7" s="100" t="s">
        <v>45</v>
      </c>
    </row>
    <row r="8" spans="1:24" ht="14.25">
      <c r="H8" s="103" t="s">
        <v>46</v>
      </c>
      <c r="I8" s="103" t="s">
        <v>0</v>
      </c>
      <c r="J8" s="103" t="s">
        <v>46</v>
      </c>
      <c r="K8" s="103" t="s">
        <v>0</v>
      </c>
      <c r="L8" s="103" t="s">
        <v>46</v>
      </c>
      <c r="M8" s="103" t="s">
        <v>0</v>
      </c>
      <c r="N8" s="103" t="s">
        <v>46</v>
      </c>
      <c r="O8" s="103" t="s">
        <v>0</v>
      </c>
      <c r="P8" s="103" t="s">
        <v>46</v>
      </c>
      <c r="Q8" s="103" t="s">
        <v>0</v>
      </c>
      <c r="T8" s="96" t="s">
        <v>563</v>
      </c>
      <c r="U8" s="96" t="s">
        <v>562</v>
      </c>
      <c r="V8" s="96" t="s">
        <v>222</v>
      </c>
      <c r="W8" s="96" t="s">
        <v>295</v>
      </c>
      <c r="X8" s="96" t="s">
        <v>387</v>
      </c>
    </row>
    <row r="9" spans="1:24">
      <c r="A9" s="96" t="s">
        <v>459</v>
      </c>
      <c r="B9" s="105" t="s">
        <v>10</v>
      </c>
      <c r="C9" s="105" t="s">
        <v>10</v>
      </c>
      <c r="D9" s="105" t="s">
        <v>10</v>
      </c>
      <c r="E9" s="160">
        <f>'Table E2'!U127</f>
        <v>1.2527397260273974</v>
      </c>
      <c r="G9" s="89" t="s">
        <v>296</v>
      </c>
      <c r="H9" s="442">
        <f>E30</f>
        <v>507.23068873668194</v>
      </c>
      <c r="I9" s="444">
        <f t="shared" ref="I9:I24" si="0">H9/$H$25</f>
        <v>0.171174479476847</v>
      </c>
      <c r="J9" s="104">
        <f>D30</f>
        <v>501.22391109916128</v>
      </c>
      <c r="K9" s="173">
        <f t="shared" ref="K9:K18" si="1">J9/$J$25</f>
        <v>0.16571968921837874</v>
      </c>
      <c r="L9" s="104">
        <f>C30</f>
        <v>218.94800902820845</v>
      </c>
      <c r="M9" s="173">
        <f t="shared" ref="M9:M18" si="2">L9/$L$25</f>
        <v>6.7682691489478669E-2</v>
      </c>
      <c r="N9" s="104">
        <v>184.363713342034</v>
      </c>
      <c r="O9" s="173">
        <f t="shared" ref="O9:O17" si="3">N9/$N$25</f>
        <v>5.6242743545464921E-2</v>
      </c>
      <c r="P9" s="104">
        <v>185.61593483010822</v>
      </c>
      <c r="Q9" s="173">
        <v>6.2346367036333013E-2</v>
      </c>
      <c r="S9" s="96" t="s">
        <v>379</v>
      </c>
      <c r="T9" s="96">
        <v>169</v>
      </c>
      <c r="U9" s="96">
        <v>185.61593483010822</v>
      </c>
      <c r="V9" s="104">
        <v>184.363713342034</v>
      </c>
      <c r="W9" s="104">
        <v>218.94800902820845</v>
      </c>
      <c r="X9" s="96">
        <v>501.22391109916128</v>
      </c>
    </row>
    <row r="10" spans="1:24">
      <c r="A10" s="96" t="s">
        <v>457</v>
      </c>
      <c r="B10" s="105" t="s">
        <v>10</v>
      </c>
      <c r="C10" s="105" t="s">
        <v>10</v>
      </c>
      <c r="D10" s="105" t="s">
        <v>10</v>
      </c>
      <c r="E10" s="160">
        <f>'Table E2'!U7</f>
        <v>32.368264840182647</v>
      </c>
      <c r="G10" s="89" t="s">
        <v>50</v>
      </c>
      <c r="H10" s="442">
        <f>E11</f>
        <v>356.4802701674277</v>
      </c>
      <c r="I10" s="444">
        <f t="shared" si="0"/>
        <v>0.12030093218857393</v>
      </c>
      <c r="J10" s="104">
        <f>D11</f>
        <v>403.58010502283105</v>
      </c>
      <c r="K10" s="173">
        <f t="shared" si="1"/>
        <v>0.13343571225969017</v>
      </c>
      <c r="L10" s="104">
        <f>C11</f>
        <v>436.06873806963466</v>
      </c>
      <c r="M10" s="173">
        <f t="shared" si="2"/>
        <v>0.13480052181324403</v>
      </c>
      <c r="N10" s="104">
        <v>373.30442110459109</v>
      </c>
      <c r="O10" s="173">
        <f t="shared" si="3"/>
        <v>0.11388176360725781</v>
      </c>
      <c r="P10" s="104">
        <v>356.90721336892102</v>
      </c>
      <c r="Q10" s="173">
        <v>0.1198812383375404</v>
      </c>
      <c r="S10" s="96" t="s">
        <v>50</v>
      </c>
      <c r="T10" s="96">
        <v>403.1</v>
      </c>
      <c r="U10" s="96">
        <v>356.90721336892102</v>
      </c>
      <c r="V10" s="104">
        <v>373.30442110459109</v>
      </c>
      <c r="W10" s="104">
        <v>436.06873806963466</v>
      </c>
      <c r="X10" s="96">
        <v>403.58010502283105</v>
      </c>
    </row>
    <row r="11" spans="1:24" ht="14.25">
      <c r="A11" s="104" t="s">
        <v>47</v>
      </c>
      <c r="B11" s="95">
        <v>373.30442110459109</v>
      </c>
      <c r="C11" s="95">
        <f>'Table E2'!W13+('Table E2'!W130*'Table E3'!J35)</f>
        <v>436.06873806963466</v>
      </c>
      <c r="D11" s="104">
        <f>('Table E2'!V13)+('Table E2'!V130*'Table E3'!J35)</f>
        <v>403.58010502283105</v>
      </c>
      <c r="E11" s="104">
        <f>('Table E2'!U13)+('Table E2'!U130*'Table E3'!J35)</f>
        <v>356.4802701674277</v>
      </c>
      <c r="G11" s="89" t="s">
        <v>229</v>
      </c>
      <c r="H11" s="442">
        <f>E36</f>
        <v>301.47669330289193</v>
      </c>
      <c r="I11" s="444">
        <f t="shared" si="0"/>
        <v>0.10173894678780619</v>
      </c>
      <c r="J11" s="104">
        <f>D36</f>
        <v>346.43940639269408</v>
      </c>
      <c r="K11" s="173">
        <f t="shared" si="1"/>
        <v>0.11454327993749408</v>
      </c>
      <c r="L11" s="104">
        <f>C36</f>
        <v>379.86014944634701</v>
      </c>
      <c r="M11" s="173">
        <f t="shared" si="2"/>
        <v>0.11742494219626354</v>
      </c>
      <c r="N11" s="104">
        <v>561.41654698321588</v>
      </c>
      <c r="O11" s="173">
        <f t="shared" si="3"/>
        <v>0.17126801311263451</v>
      </c>
      <c r="P11" s="104">
        <v>561.77241835773441</v>
      </c>
      <c r="Q11" s="173">
        <v>0.18869322516882595</v>
      </c>
      <c r="S11" s="96" t="s">
        <v>229</v>
      </c>
      <c r="T11" s="96">
        <v>509</v>
      </c>
      <c r="U11" s="96">
        <v>561.77241835773441</v>
      </c>
      <c r="V11" s="104">
        <v>561.41654698321588</v>
      </c>
      <c r="W11" s="104">
        <v>379.86014944634701</v>
      </c>
      <c r="X11" s="96">
        <v>346.43940639269408</v>
      </c>
    </row>
    <row r="12" spans="1:24">
      <c r="A12" s="104" t="s">
        <v>48</v>
      </c>
      <c r="B12" s="95">
        <v>5.8184703196347032</v>
      </c>
      <c r="C12" s="95">
        <f>'Table E2'!W16</f>
        <v>3.9156392694063928</v>
      </c>
      <c r="D12" s="104">
        <f>'Table E2'!V16</f>
        <v>12.413630136986301</v>
      </c>
      <c r="E12" s="104">
        <f>'Table E2'!U16</f>
        <v>14.993188736681889</v>
      </c>
      <c r="G12" s="89" t="s">
        <v>589</v>
      </c>
      <c r="H12" s="442">
        <f>E16</f>
        <v>316.34786910197869</v>
      </c>
      <c r="I12" s="444">
        <f t="shared" si="0"/>
        <v>0.10675750310378422</v>
      </c>
      <c r="J12" s="104">
        <f>D16</f>
        <v>338.78408675799085</v>
      </c>
      <c r="K12" s="173">
        <f t="shared" si="1"/>
        <v>0.11201220118678502</v>
      </c>
      <c r="L12" s="104">
        <f>C16</f>
        <v>394.78086757990866</v>
      </c>
      <c r="M12" s="173">
        <f t="shared" si="2"/>
        <v>0.12203733564399394</v>
      </c>
      <c r="N12" s="104">
        <v>329.78385844748857</v>
      </c>
      <c r="O12" s="173">
        <f t="shared" si="3"/>
        <v>0.10060520391930707</v>
      </c>
      <c r="P12" s="104">
        <v>309.77906392694064</v>
      </c>
      <c r="Q12" s="173">
        <v>0.10405140721047569</v>
      </c>
      <c r="S12" s="96" t="s">
        <v>590</v>
      </c>
      <c r="T12" s="96">
        <v>381.7</v>
      </c>
      <c r="U12" s="96">
        <v>309.77906392694064</v>
      </c>
      <c r="V12" s="104">
        <v>329.78385844748857</v>
      </c>
      <c r="W12" s="104">
        <v>394.78086757990866</v>
      </c>
      <c r="X12" s="96">
        <v>338.78408675799085</v>
      </c>
    </row>
    <row r="13" spans="1:24" ht="13.5" customHeight="1">
      <c r="A13" s="96" t="s">
        <v>49</v>
      </c>
      <c r="B13" s="95">
        <v>0.67785388127853885</v>
      </c>
      <c r="C13" s="95">
        <f>'Table E2'!W19</f>
        <v>9.6654109589041095</v>
      </c>
      <c r="D13" s="104">
        <f>'Table E2'!V19</f>
        <v>9.5014611872146126</v>
      </c>
      <c r="E13" s="104">
        <f>'Table E2'!U19</f>
        <v>23.333181126331809</v>
      </c>
      <c r="G13" s="89" t="s">
        <v>256</v>
      </c>
      <c r="H13" s="442">
        <f>E35</f>
        <v>241.18135464231355</v>
      </c>
      <c r="I13" s="444">
        <f t="shared" si="0"/>
        <v>8.1391157430244956E-2</v>
      </c>
      <c r="J13" s="104">
        <f>D35</f>
        <v>277.15152511415528</v>
      </c>
      <c r="K13" s="173">
        <f t="shared" si="1"/>
        <v>9.1634623949995261E-2</v>
      </c>
      <c r="L13" s="104">
        <f>C35</f>
        <v>303.88811955707763</v>
      </c>
      <c r="M13" s="173">
        <f t="shared" si="2"/>
        <v>9.3939953757010836E-2</v>
      </c>
      <c r="N13" s="104">
        <v>246</v>
      </c>
      <c r="O13" s="173">
        <f t="shared" si="3"/>
        <v>7.5045759609517995E-2</v>
      </c>
      <c r="P13" s="104">
        <v>245.61984613573028</v>
      </c>
      <c r="Q13" s="173">
        <v>8.2501026070860392E-2</v>
      </c>
      <c r="S13" s="96" t="s">
        <v>380</v>
      </c>
      <c r="T13" s="96">
        <v>222.5</v>
      </c>
      <c r="U13" s="96">
        <v>245.61984613573028</v>
      </c>
      <c r="V13" s="104">
        <v>246</v>
      </c>
      <c r="W13" s="104">
        <v>303.88811955707763</v>
      </c>
      <c r="X13" s="96">
        <v>277.15152511415528</v>
      </c>
    </row>
    <row r="14" spans="1:24">
      <c r="A14" s="104" t="s">
        <v>426</v>
      </c>
      <c r="B14" s="95">
        <v>35.817275494672757</v>
      </c>
      <c r="C14" s="95">
        <f>'Table E2'!W22+'Table E2'!W23+'Table E2'!W24</f>
        <v>108.84742146118722</v>
      </c>
      <c r="D14" s="104">
        <f>'Table E2'!V22+'Table E2'!V23+'Table E2'!V24</f>
        <v>137.88089589041095</v>
      </c>
      <c r="E14" s="104">
        <f>'Table E2'!U22+'Table E2'!U23+'Table E2'!U24</f>
        <v>131.7607686453577</v>
      </c>
      <c r="G14" s="89" t="s">
        <v>2</v>
      </c>
      <c r="H14" s="442">
        <f>E43</f>
        <v>197.07256468797567</v>
      </c>
      <c r="I14" s="444">
        <f t="shared" si="0"/>
        <v>6.6505821569372112E-2</v>
      </c>
      <c r="J14" s="104">
        <f>D43</f>
        <v>260.8959132420091</v>
      </c>
      <c r="K14" s="173">
        <f t="shared" si="1"/>
        <v>8.6260030105102456E-2</v>
      </c>
      <c r="L14" s="104">
        <f>C43</f>
        <v>229.35867579908677</v>
      </c>
      <c r="M14" s="173">
        <f t="shared" si="2"/>
        <v>7.0900907313319952E-2</v>
      </c>
      <c r="N14" s="104">
        <v>185.28739726027396</v>
      </c>
      <c r="O14" s="173">
        <f t="shared" si="3"/>
        <v>5.6524526314909687E-2</v>
      </c>
      <c r="P14" s="104">
        <v>157.66417671232878</v>
      </c>
      <c r="Q14" s="173">
        <v>5.2957676498977271E-2</v>
      </c>
      <c r="S14" s="96" t="s">
        <v>2</v>
      </c>
      <c r="T14" s="96">
        <v>322.7</v>
      </c>
      <c r="U14" s="96">
        <v>157.66417671232878</v>
      </c>
      <c r="V14" s="104">
        <v>185.28739726027396</v>
      </c>
      <c r="W14" s="104">
        <v>229.35867579908677</v>
      </c>
      <c r="X14" s="96">
        <v>260.8959132420091</v>
      </c>
    </row>
    <row r="15" spans="1:24">
      <c r="A15" s="104" t="s">
        <v>409</v>
      </c>
      <c r="B15" s="95">
        <v>77.917762557077623</v>
      </c>
      <c r="C15" s="95">
        <f>'Table E2'!W27</f>
        <v>66.093388584474894</v>
      </c>
      <c r="D15" s="104">
        <f>'Table E2'!V27</f>
        <v>18.349634703196347</v>
      </c>
      <c r="E15" s="104">
        <f>'Table E2'!U27</f>
        <v>55.683904109589044</v>
      </c>
      <c r="G15" s="89" t="s">
        <v>235</v>
      </c>
      <c r="H15" s="442">
        <f>E38</f>
        <v>180.88601598173514</v>
      </c>
      <c r="I15" s="444">
        <f t="shared" si="0"/>
        <v>6.1043368072683714E-2</v>
      </c>
      <c r="J15" s="104">
        <f>D38</f>
        <v>207.86364383561644</v>
      </c>
      <c r="K15" s="173">
        <f t="shared" si="1"/>
        <v>6.8725967962496443E-2</v>
      </c>
      <c r="L15" s="104">
        <f>C38</f>
        <v>574.7448567910958</v>
      </c>
      <c r="M15" s="173">
        <f t="shared" si="2"/>
        <v>0.1776690228881897</v>
      </c>
      <c r="N15" s="104">
        <v>950.83891930618256</v>
      </c>
      <c r="O15" s="173">
        <f t="shared" si="3"/>
        <v>0.29006678441311246</v>
      </c>
      <c r="P15" s="104">
        <v>906.8390745136137</v>
      </c>
      <c r="Q15" s="173">
        <v>0.30459734954470846</v>
      </c>
      <c r="S15" s="96" t="s">
        <v>564</v>
      </c>
      <c r="T15" s="96">
        <v>939.5</v>
      </c>
      <c r="U15" s="96">
        <v>906.8390745136137</v>
      </c>
      <c r="V15" s="104">
        <v>950.83891930618256</v>
      </c>
      <c r="W15" s="104">
        <v>574.7448567910958</v>
      </c>
      <c r="X15" s="96">
        <v>207.86364383561644</v>
      </c>
    </row>
    <row r="16" spans="1:24" ht="14.25">
      <c r="A16" s="104" t="s">
        <v>310</v>
      </c>
      <c r="B16" s="95">
        <v>329.78385844748857</v>
      </c>
      <c r="C16" s="95">
        <f>'Table E2'!W30+'Table E2'!W31</f>
        <v>394.78086757990866</v>
      </c>
      <c r="D16" s="104">
        <f>'Table E2'!V30+'Table E2'!V31</f>
        <v>338.78408675799085</v>
      </c>
      <c r="E16" s="104">
        <f>'Table E2'!U30+'Table E2'!U31</f>
        <v>316.34786910197869</v>
      </c>
      <c r="G16" s="89" t="s">
        <v>381</v>
      </c>
      <c r="H16" s="442">
        <f>E33</f>
        <v>123.71504946727549</v>
      </c>
      <c r="I16" s="444">
        <f t="shared" si="0"/>
        <v>4.1749956511418371E-2</v>
      </c>
      <c r="J16" s="104">
        <f>D33</f>
        <v>141.57343378995435</v>
      </c>
      <c r="K16" s="173">
        <f t="shared" si="1"/>
        <v>4.6808432179143128E-2</v>
      </c>
      <c r="L16" s="104">
        <f>C33</f>
        <v>155.50609174200915</v>
      </c>
      <c r="M16" s="173">
        <f t="shared" si="2"/>
        <v>4.8071096324757902E-2</v>
      </c>
      <c r="N16" s="104">
        <v>126.03411176379133</v>
      </c>
      <c r="O16" s="173">
        <f t="shared" si="3"/>
        <v>3.8448478268392719E-2</v>
      </c>
      <c r="P16" s="104">
        <v>125.65813904960031</v>
      </c>
      <c r="Q16" s="173">
        <v>4.2207197703470915E-2</v>
      </c>
      <c r="S16" s="96" t="s">
        <v>381</v>
      </c>
      <c r="T16" s="96">
        <v>113.5</v>
      </c>
      <c r="U16" s="96">
        <v>125.65813904960031</v>
      </c>
      <c r="V16" s="104">
        <v>126.03411176379133</v>
      </c>
      <c r="W16" s="104">
        <v>155.50609174200915</v>
      </c>
      <c r="X16" s="96">
        <v>141.57343378995435</v>
      </c>
    </row>
    <row r="17" spans="1:24">
      <c r="A17" s="104" t="s">
        <v>51</v>
      </c>
      <c r="B17" s="95">
        <v>34.707450182648401</v>
      </c>
      <c r="C17" s="95">
        <f>'Table E2'!W34</f>
        <v>34.4915401826484</v>
      </c>
      <c r="D17" s="104">
        <f>'Table E2'!V34</f>
        <v>31.781196552511414</v>
      </c>
      <c r="E17" s="104">
        <f>'Table E2'!U34</f>
        <v>35.853424657534248</v>
      </c>
      <c r="G17" s="89" t="s">
        <v>427</v>
      </c>
      <c r="H17" s="442">
        <f>E14</f>
        <v>131.7607686453577</v>
      </c>
      <c r="I17" s="444">
        <f t="shared" si="0"/>
        <v>4.4465134876819017E-2</v>
      </c>
      <c r="J17" s="104">
        <f>D14</f>
        <v>137.88089589041095</v>
      </c>
      <c r="K17" s="173">
        <f t="shared" si="1"/>
        <v>4.5587568170884843E-2</v>
      </c>
      <c r="L17" s="104">
        <f>C14</f>
        <v>108.84742146118722</v>
      </c>
      <c r="M17" s="173">
        <f t="shared" si="2"/>
        <v>3.3647652147563697E-2</v>
      </c>
      <c r="N17" s="104">
        <v>35.817275494672757</v>
      </c>
      <c r="O17" s="173">
        <f t="shared" si="3"/>
        <v>1.092656360423208E-2</v>
      </c>
      <c r="P17" s="104" t="s">
        <v>10</v>
      </c>
      <c r="Q17" s="173" t="s">
        <v>10</v>
      </c>
      <c r="S17" s="96" t="s">
        <v>565</v>
      </c>
      <c r="T17" s="96">
        <v>0</v>
      </c>
      <c r="U17" s="96">
        <v>0</v>
      </c>
      <c r="V17" s="104">
        <v>35.817275494672757</v>
      </c>
      <c r="W17" s="104">
        <v>108.84742146118722</v>
      </c>
      <c r="X17" s="96">
        <v>137.88089589041095</v>
      </c>
    </row>
    <row r="18" spans="1:24" ht="14.25">
      <c r="A18" s="104" t="s">
        <v>322</v>
      </c>
      <c r="B18" s="105" t="s">
        <v>10</v>
      </c>
      <c r="C18" s="105" t="s">
        <v>10</v>
      </c>
      <c r="D18" s="104">
        <f>'Table E2'!V37</f>
        <v>9.1225646879756468</v>
      </c>
      <c r="E18" s="104">
        <f>'Table E2'!U37</f>
        <v>9.1904490106544898</v>
      </c>
      <c r="G18" s="104" t="s">
        <v>592</v>
      </c>
      <c r="H18" s="104">
        <f>E37</f>
        <v>113.30268264840183</v>
      </c>
      <c r="I18" s="444">
        <f t="shared" si="0"/>
        <v>3.8236108651026092E-2</v>
      </c>
      <c r="J18" s="104">
        <f>D37</f>
        <v>104.98986301369862</v>
      </c>
      <c r="K18" s="173">
        <f t="shared" si="1"/>
        <v>3.4712804166815034E-2</v>
      </c>
      <c r="L18" s="104">
        <v>131</v>
      </c>
      <c r="M18" s="173">
        <f t="shared" si="2"/>
        <v>4.0495607265281806E-2</v>
      </c>
      <c r="N18" s="104" t="s">
        <v>10</v>
      </c>
      <c r="O18" s="104" t="s">
        <v>10</v>
      </c>
      <c r="P18" s="104" t="s">
        <v>10</v>
      </c>
      <c r="Q18" s="104" t="s">
        <v>10</v>
      </c>
      <c r="S18" s="96" t="s">
        <v>593</v>
      </c>
      <c r="T18" s="96">
        <v>0</v>
      </c>
      <c r="U18" s="96">
        <v>0</v>
      </c>
      <c r="V18" s="104">
        <v>0</v>
      </c>
      <c r="W18" s="104">
        <v>131</v>
      </c>
      <c r="X18" s="96">
        <v>104.98986301369862</v>
      </c>
    </row>
    <row r="19" spans="1:24" ht="13.9" customHeight="1">
      <c r="A19" s="96" t="s">
        <v>458</v>
      </c>
      <c r="B19" s="105" t="s">
        <v>10</v>
      </c>
      <c r="C19" s="105" t="s">
        <v>10</v>
      </c>
      <c r="D19" s="105" t="s">
        <v>10</v>
      </c>
      <c r="E19" s="160">
        <f>'Table E2'!U40</f>
        <v>1.2445205479452055</v>
      </c>
      <c r="G19" s="104" t="s">
        <v>595</v>
      </c>
      <c r="H19" s="104">
        <f>E28</f>
        <v>90.668378995433784</v>
      </c>
      <c r="I19" s="444">
        <f t="shared" si="0"/>
        <v>3.0597739695536842E-2</v>
      </c>
      <c r="J19" s="104" t="s">
        <v>10</v>
      </c>
      <c r="K19" s="104" t="s">
        <v>10</v>
      </c>
      <c r="L19" s="104" t="s">
        <v>10</v>
      </c>
      <c r="M19" s="104" t="s">
        <v>10</v>
      </c>
      <c r="N19" s="104" t="s">
        <v>10</v>
      </c>
      <c r="O19" s="104" t="s">
        <v>10</v>
      </c>
      <c r="P19" s="104" t="s">
        <v>10</v>
      </c>
      <c r="Q19" s="104" t="s">
        <v>10</v>
      </c>
      <c r="S19" s="96" t="s">
        <v>54</v>
      </c>
      <c r="T19" s="96">
        <v>0</v>
      </c>
      <c r="U19" s="96">
        <v>0</v>
      </c>
      <c r="V19" s="104">
        <v>53</v>
      </c>
      <c r="W19" s="104">
        <v>55.381027397260276</v>
      </c>
      <c r="X19" s="96">
        <v>52.978470319634702</v>
      </c>
    </row>
    <row r="20" spans="1:24">
      <c r="A20" s="104" t="s">
        <v>321</v>
      </c>
      <c r="B20" s="105" t="s">
        <v>10</v>
      </c>
      <c r="C20" s="105" t="s">
        <v>10</v>
      </c>
      <c r="D20" s="104">
        <f>'Table E2'!V43+'Table E2'!V44+'Table E2'!V45+'Table E2'!V46+'Table E2'!V47+'Table E2'!V48</f>
        <v>3.6570015220700149</v>
      </c>
      <c r="E20" s="104">
        <f>'Table E2'!U43+'Table E2'!U44+'Table E2'!U45+'Table E2'!U46+'Table E2'!U47+'Table E2'!U48</f>
        <v>3.6958713850837137</v>
      </c>
      <c r="G20" s="89" t="s">
        <v>54</v>
      </c>
      <c r="H20" s="442">
        <f>E25</f>
        <v>52.223934550989348</v>
      </c>
      <c r="I20" s="444">
        <f t="shared" si="0"/>
        <v>1.7623943131799009E-2</v>
      </c>
      <c r="J20" s="104">
        <f>D25</f>
        <v>52.978470319634702</v>
      </c>
      <c r="K20" s="173">
        <f>J20/$J$25</f>
        <v>1.7516274547600401E-2</v>
      </c>
      <c r="L20" s="104">
        <f>C25</f>
        <v>55.381027397260276</v>
      </c>
      <c r="M20" s="173">
        <f>L20/$L$25</f>
        <v>1.7119758285704306E-2</v>
      </c>
      <c r="N20" s="104">
        <v>53</v>
      </c>
      <c r="O20" s="173">
        <f>N20/$N$25</f>
        <v>1.6168395363026236E-2</v>
      </c>
      <c r="P20" s="104" t="s">
        <v>10</v>
      </c>
      <c r="Q20" s="173" t="s">
        <v>10</v>
      </c>
      <c r="S20" s="96" t="s">
        <v>346</v>
      </c>
      <c r="T20" s="96">
        <v>46.9</v>
      </c>
      <c r="U20" s="96">
        <v>45.621619611872148</v>
      </c>
      <c r="V20" s="104">
        <v>48.21313294520548</v>
      </c>
      <c r="W20" s="104">
        <v>51.412502579908669</v>
      </c>
      <c r="X20" s="96">
        <v>51.904704611872141</v>
      </c>
    </row>
    <row r="21" spans="1:24">
      <c r="A21" s="104" t="s">
        <v>52</v>
      </c>
      <c r="B21" s="95">
        <v>0.59115085616438356</v>
      </c>
      <c r="C21" s="95">
        <f>'Table E2'!W54</f>
        <v>1.1171461187214613</v>
      </c>
      <c r="D21" s="104">
        <f>'Table E2'!V54</f>
        <v>1.2421917808219178</v>
      </c>
      <c r="E21" s="104">
        <f>'Table E2'!U54</f>
        <v>1.0622146118721461</v>
      </c>
      <c r="G21" s="89" t="s">
        <v>346</v>
      </c>
      <c r="H21" s="442">
        <f>E44</f>
        <v>53.42891933028919</v>
      </c>
      <c r="I21" s="444">
        <f t="shared" si="0"/>
        <v>1.8030587774866439E-2</v>
      </c>
      <c r="J21" s="104">
        <f>D44</f>
        <v>51.904704611872141</v>
      </c>
      <c r="K21" s="173">
        <f>J21/$J$25</f>
        <v>1.7161255332747819E-2</v>
      </c>
      <c r="L21" s="104">
        <f>C44</f>
        <v>51.412502579908669</v>
      </c>
      <c r="M21" s="173">
        <f>L21/$L$25</f>
        <v>1.5892981015276864E-2</v>
      </c>
      <c r="N21" s="104">
        <v>48.21313294520548</v>
      </c>
      <c r="O21" s="173">
        <f>N21/$N$25</f>
        <v>1.4708094248079768E-2</v>
      </c>
      <c r="P21" s="104">
        <v>45.621619611872148</v>
      </c>
      <c r="Q21" s="173">
        <v>1.5323804196644744E-2</v>
      </c>
      <c r="S21" s="96" t="s">
        <v>59</v>
      </c>
      <c r="T21" s="96">
        <v>27.9</v>
      </c>
      <c r="U21" s="96">
        <v>36.780355936073057</v>
      </c>
      <c r="V21" s="104">
        <v>43.441906415525118</v>
      </c>
      <c r="W21" s="104">
        <v>42.588127397260273</v>
      </c>
      <c r="X21" s="96">
        <v>39.47050228310502</v>
      </c>
    </row>
    <row r="22" spans="1:24">
      <c r="A22" s="104" t="s">
        <v>223</v>
      </c>
      <c r="B22" s="105" t="s">
        <v>10</v>
      </c>
      <c r="C22" s="95">
        <f>'Table E2'!W57</f>
        <v>4.762185616438356</v>
      </c>
      <c r="D22" s="104">
        <f>'Table E2'!V57</f>
        <v>5.3733561643835612</v>
      </c>
      <c r="E22" s="104">
        <f>'Table E2'!U57</f>
        <v>6.0230593607305938</v>
      </c>
      <c r="G22" s="89" t="s">
        <v>59</v>
      </c>
      <c r="H22" s="442">
        <f>E26</f>
        <v>15.975076103500763</v>
      </c>
      <c r="I22" s="444">
        <f t="shared" si="0"/>
        <v>5.3910881130446175E-3</v>
      </c>
      <c r="J22" s="104">
        <f>D26</f>
        <v>39.47050228310502</v>
      </c>
      <c r="K22" s="173">
        <f>J22/$J$25</f>
        <v>1.3050134334783171E-2</v>
      </c>
      <c r="L22" s="104">
        <f>C26</f>
        <v>42.588127397260273</v>
      </c>
      <c r="M22" s="173">
        <f>L22/$L$25</f>
        <v>1.3165130391169774E-2</v>
      </c>
      <c r="N22" s="104">
        <v>43.441906415525118</v>
      </c>
      <c r="O22" s="173">
        <f>N22/$N$25</f>
        <v>1.325256449527917E-2</v>
      </c>
      <c r="P22" s="104">
        <v>36.780355936073057</v>
      </c>
      <c r="Q22" s="173">
        <v>1.2354120205338211E-2</v>
      </c>
      <c r="S22" s="96" t="s">
        <v>388</v>
      </c>
      <c r="T22" s="96">
        <v>0</v>
      </c>
      <c r="U22" s="96">
        <v>0</v>
      </c>
      <c r="V22" s="104">
        <v>77.917762557077623</v>
      </c>
      <c r="W22" s="104">
        <v>66.093388584474894</v>
      </c>
      <c r="X22" s="96">
        <v>18.349634703196347</v>
      </c>
    </row>
    <row r="23" spans="1:24">
      <c r="A23" s="96" t="s">
        <v>249</v>
      </c>
      <c r="B23" s="105" t="s">
        <v>10</v>
      </c>
      <c r="C23" s="160">
        <f>'Table E2'!W63</f>
        <v>3.6078767123287672</v>
      </c>
      <c r="D23" s="104">
        <f>'Table E2'!V63+'Table E2'!V64</f>
        <v>11.981268287671233</v>
      </c>
      <c r="E23" s="104">
        <f>'Table E2'!U63+'Table E2'!U64+'Table E2'!U65</f>
        <v>30.698972602739726</v>
      </c>
      <c r="G23" s="89" t="s">
        <v>409</v>
      </c>
      <c r="H23" s="442">
        <f>E15</f>
        <v>55.683904109589044</v>
      </c>
      <c r="I23" s="444">
        <f t="shared" si="0"/>
        <v>1.8791574549515726E-2</v>
      </c>
      <c r="J23" s="104">
        <f>D15</f>
        <v>18.349634703196347</v>
      </c>
      <c r="K23" s="173">
        <f>J23/$J$25</f>
        <v>6.0669407283781207E-3</v>
      </c>
      <c r="L23" s="104">
        <f>C15</f>
        <v>66.093388584474894</v>
      </c>
      <c r="M23" s="173">
        <f>L23/$L$25</f>
        <v>2.0431235930905001E-2</v>
      </c>
      <c r="N23" s="104">
        <v>77.917762557077623</v>
      </c>
      <c r="O23" s="173">
        <f>N23/$N$25</f>
        <v>2.3769909260853456E-2</v>
      </c>
      <c r="P23" s="104" t="s">
        <v>10</v>
      </c>
      <c r="Q23" s="173" t="s">
        <v>10</v>
      </c>
      <c r="S23" s="96" t="s">
        <v>341</v>
      </c>
      <c r="T23" s="96">
        <v>41.5</v>
      </c>
      <c r="U23" s="96">
        <v>44.915385981735149</v>
      </c>
      <c r="V23" s="109">
        <v>63</v>
      </c>
      <c r="W23" s="109">
        <v>87.505884779299848</v>
      </c>
      <c r="X23" s="96">
        <v>141.44233179604259</v>
      </c>
    </row>
    <row r="24" spans="1:24">
      <c r="A24" s="104" t="s">
        <v>53</v>
      </c>
      <c r="B24" s="95">
        <v>0.99641863013698639</v>
      </c>
      <c r="C24" s="95">
        <f>'Table E2'!W68</f>
        <v>0.82797890410958885</v>
      </c>
      <c r="D24" s="104">
        <f>'Table E2'!V68</f>
        <v>0.64388127853881272</v>
      </c>
      <c r="E24" s="104">
        <f>'Table E2'!U68</f>
        <v>0.31746575342465755</v>
      </c>
      <c r="G24" s="106" t="s">
        <v>291</v>
      </c>
      <c r="H24" s="107">
        <f>(E9+E10+E12+E13+E17+E18++E19+E20+E21+E22+E32+E23+E24+E27+E29+E31+E34+E39+E40+E41+E42+E45)</f>
        <v>225.80363394216135</v>
      </c>
      <c r="I24" s="445">
        <f t="shared" si="0"/>
        <v>7.6201658066661737E-2</v>
      </c>
      <c r="J24" s="107">
        <f>(D12+D13+D17+D18+D20+D21+D22+D32+D23+D24+D27+D29+D31+D34+D39+D40+D42+D45)</f>
        <v>141.44233179604259</v>
      </c>
      <c r="K24" s="325">
        <f>J24/$J$25</f>
        <v>4.6765085919705261E-2</v>
      </c>
      <c r="L24" s="109">
        <f>(C12+C13+C17+C21+C22+C32+C23+C24+C27+C29+C31+C39+C40+C42+C45)</f>
        <v>87.505884779299848</v>
      </c>
      <c r="M24" s="325">
        <f>L24/$L$25</f>
        <v>2.7050411781858991E-2</v>
      </c>
      <c r="N24" s="109">
        <v>63</v>
      </c>
      <c r="O24" s="325">
        <f>N24/N25</f>
        <v>1.9219035997559489E-2</v>
      </c>
      <c r="P24" s="109">
        <v>44.915385981735149</v>
      </c>
      <c r="Q24" s="325">
        <v>1.5086588026824926E-2</v>
      </c>
    </row>
    <row r="25" spans="1:24">
      <c r="A25" s="104" t="s">
        <v>54</v>
      </c>
      <c r="B25" s="95">
        <v>52.474634703196344</v>
      </c>
      <c r="C25" s="95">
        <f>'Table E2'!W71</f>
        <v>55.381027397260276</v>
      </c>
      <c r="D25" s="104">
        <f>'Table E2'!V71</f>
        <v>52.978470319634702</v>
      </c>
      <c r="E25" s="104">
        <f>'Table E2'!U71</f>
        <v>52.223934550989348</v>
      </c>
      <c r="G25" s="89" t="s">
        <v>6</v>
      </c>
      <c r="H25" s="443">
        <f>SUM(H9:H24)</f>
        <v>2963.2378044140032</v>
      </c>
      <c r="I25" s="319">
        <f>SUM(I9:I24)</f>
        <v>1</v>
      </c>
      <c r="J25" s="172">
        <f>SUM(J15,J11,J12,J10,J14,J9,J13,J18,J17,J16,J20,J23,J21,J22,J24)</f>
        <v>3024.528427872373</v>
      </c>
      <c r="K25" s="319">
        <f>SUM(K9:K24)</f>
        <v>0.99999999999999978</v>
      </c>
      <c r="L25" s="172">
        <f>C47</f>
        <v>3234.9187688885586</v>
      </c>
      <c r="M25" s="319">
        <f>SUM(M9:M24)</f>
        <v>1.0003292482440189</v>
      </c>
      <c r="N25" s="172">
        <v>3278</v>
      </c>
      <c r="O25" s="319">
        <f>SUM(O9:O24)</f>
        <v>1.0001278357596273</v>
      </c>
      <c r="P25" s="172">
        <v>2977.1732284246577</v>
      </c>
      <c r="Q25" s="319">
        <f>SUM(Q9:Q24)</f>
        <v>0.99999999999999989</v>
      </c>
    </row>
    <row r="26" spans="1:24">
      <c r="A26" s="104" t="s">
        <v>55</v>
      </c>
      <c r="B26" s="95">
        <v>43.441906415525118</v>
      </c>
      <c r="C26" s="95">
        <f>'Table E2'!W74+'Table E2'!W75+'Table E2'!W76+'Table E2'!W77</f>
        <v>42.588127397260273</v>
      </c>
      <c r="D26" s="104">
        <f>'Table E2'!V74+'Table E2'!V75+'Table E2'!V76+'Table E2'!V77</f>
        <v>39.47050228310502</v>
      </c>
      <c r="E26" s="104">
        <f>'Table E2'!U74+'Table E2'!U75+'Table E2'!U76+'Table E2'!U77</f>
        <v>15.975076103500763</v>
      </c>
    </row>
    <row r="27" spans="1:24">
      <c r="A27" s="104" t="s">
        <v>56</v>
      </c>
      <c r="B27" s="95">
        <v>5.5921959589041093</v>
      </c>
      <c r="C27" s="95">
        <f>'Table E2'!W80</f>
        <v>5.7460958904109596</v>
      </c>
      <c r="D27" s="104">
        <f>'Table E2'!V80</f>
        <v>5.4390867579908679</v>
      </c>
      <c r="E27" s="104">
        <f>'Table E2'!U80</f>
        <v>3.8080669710806694</v>
      </c>
    </row>
    <row r="28" spans="1:24" ht="14.25">
      <c r="A28" s="96" t="s">
        <v>551</v>
      </c>
      <c r="B28" s="105" t="s">
        <v>10</v>
      </c>
      <c r="C28" s="105" t="s">
        <v>10</v>
      </c>
      <c r="D28" s="105" t="s">
        <v>10</v>
      </c>
      <c r="E28" s="160">
        <f>'Table E2'!U83+'Table E2'!U84</f>
        <v>90.668378995433784</v>
      </c>
    </row>
    <row r="29" spans="1:24">
      <c r="A29" s="104" t="s">
        <v>58</v>
      </c>
      <c r="B29" s="95">
        <v>2.7877671232876717</v>
      </c>
      <c r="C29" s="95">
        <f>'Table E2'!W87</f>
        <v>3.2108219178082189</v>
      </c>
      <c r="D29" s="104">
        <f>'Table E2'!V87</f>
        <v>2.7831278538812785</v>
      </c>
      <c r="E29" s="104">
        <f>'Table E2'!U87</f>
        <v>2.1920471841704718</v>
      </c>
    </row>
    <row r="30" spans="1:24" ht="14.25">
      <c r="A30" s="104" t="s">
        <v>307</v>
      </c>
      <c r="B30" s="95">
        <v>184.363713342034</v>
      </c>
      <c r="C30" s="95">
        <f>'Table E2'!W91+'Table E2'!W92+'Table E2'!W103+'Table E2'!W107+'Table E2'!W104+'Table E2'!W90</f>
        <v>218.94800902820845</v>
      </c>
      <c r="D30" s="104">
        <f>'Table E2'!V91+'Table E2'!V92+'Table E2'!V93+'Table E2'!V94+'Table E2'!V95+'Table E2'!V96+'Table E2'!V97+'Table E2'!V98+'Table E2'!V99+'Table E2'!V100+'Table E2'!V101+'Table E2'!V102+'Table E2'!V103+'Table E2'!V90+'Table E2'!V104+'Table E2'!V60+'Table E2'!V107+'Table E2'!V68+'Table E2'!V40+'Table E2'!V127+'Table E2'!V140</f>
        <v>501.22391109916128</v>
      </c>
      <c r="E30" s="104">
        <f>'Table E2'!U91+'Table E2'!U92+'Table E2'!U93+'Table E2'!U94+'Table E2'!U95+'Table E2'!U96+'Table E2'!U97+'Table E2'!U98+'Table E2'!U99+'Table E2'!U100+'Table E2'!U101+'Table E2'!U102+'Table E2'!U103+'Table E2'!U90+'Table E2'!U104+'Table E2'!U60+'Table E2'!U107+'Table E2'!U68+'Table E2'!U40+'Table E2'!U127+'Table E2'!U140</f>
        <v>507.23068873668194</v>
      </c>
    </row>
    <row r="31" spans="1:24">
      <c r="A31" s="104" t="s">
        <v>61</v>
      </c>
      <c r="B31" s="95">
        <v>3.1457762557077626</v>
      </c>
      <c r="C31" s="95">
        <f>'Table E2'!W110</f>
        <v>4.152442922374429</v>
      </c>
      <c r="D31" s="104">
        <f>'Table E2'!V110</f>
        <v>1.7919178082191782</v>
      </c>
      <c r="E31" s="104">
        <f>'Table E2'!U110</f>
        <v>0</v>
      </c>
    </row>
    <row r="32" spans="1:24">
      <c r="A32" s="104" t="s">
        <v>367</v>
      </c>
      <c r="B32" s="105" t="s">
        <v>10</v>
      </c>
      <c r="C32" s="95">
        <f>'Table E2'!W113</f>
        <v>3.686341415525114</v>
      </c>
      <c r="D32" s="104">
        <f>'Table E2'!V113</f>
        <v>5.9148401826484021</v>
      </c>
      <c r="E32" s="104">
        <f>'Table E2'!U113</f>
        <v>6.8918949771689499</v>
      </c>
      <c r="M32" s="89"/>
    </row>
    <row r="33" spans="1:19" ht="14.25">
      <c r="A33" s="104" t="s">
        <v>62</v>
      </c>
      <c r="B33" s="95">
        <v>126.03411176379133</v>
      </c>
      <c r="C33" s="95">
        <f>'Table E2'!W117+('Table E2'!W130*'Table E3'!J37)</f>
        <v>155.50609174200915</v>
      </c>
      <c r="D33" s="104">
        <f>'Table E2'!V117+('Table E2'!V130*'Table E3'!J37)</f>
        <v>141.57343378995435</v>
      </c>
      <c r="E33" s="104">
        <f>'Table E2'!U117+('Table E2'!U130*'Table E3'!J37)</f>
        <v>123.71504946727549</v>
      </c>
      <c r="G33" s="98" t="s">
        <v>402</v>
      </c>
      <c r="H33" s="98"/>
      <c r="I33" s="89"/>
      <c r="J33" s="89"/>
      <c r="K33" s="89"/>
      <c r="L33" s="89"/>
      <c r="M33" s="89"/>
    </row>
    <row r="34" spans="1:19" ht="15.6" customHeight="1">
      <c r="A34" s="104" t="s">
        <v>324</v>
      </c>
      <c r="B34" s="105" t="s">
        <v>10</v>
      </c>
      <c r="C34" s="105" t="s">
        <v>10</v>
      </c>
      <c r="D34" s="104">
        <f>'Table E2'!V121</f>
        <v>24.160426179604261</v>
      </c>
      <c r="E34" s="104">
        <f>'Table E2'!U121</f>
        <v>31.17960426179604</v>
      </c>
      <c r="I34" s="108" t="s">
        <v>63</v>
      </c>
      <c r="J34" s="108" t="s">
        <v>0</v>
      </c>
      <c r="M34" s="89"/>
    </row>
    <row r="35" spans="1:19" ht="14.25">
      <c r="A35" s="104" t="s">
        <v>64</v>
      </c>
      <c r="B35" s="95">
        <v>245.46425097050502</v>
      </c>
      <c r="C35" s="95">
        <f>'Table E2'!W130*'Table E3'!J39</f>
        <v>303.88811955707763</v>
      </c>
      <c r="D35" s="104">
        <f>'Table E2'!V130*'Table E3'!J39</f>
        <v>277.15152511415528</v>
      </c>
      <c r="E35" s="104">
        <f>'Table E2'!U130*'Table E3'!J39</f>
        <v>241.18135464231355</v>
      </c>
      <c r="G35" s="96" t="s">
        <v>50</v>
      </c>
      <c r="I35" s="96">
        <v>222</v>
      </c>
      <c r="J35" s="319">
        <f>I35/I43</f>
        <v>0.15</v>
      </c>
      <c r="K35" s="96" t="s">
        <v>11</v>
      </c>
      <c r="L35" s="502" t="s">
        <v>449</v>
      </c>
      <c r="M35" s="502"/>
      <c r="N35" s="502"/>
      <c r="O35" s="502"/>
      <c r="P35" s="403"/>
    </row>
    <row r="36" spans="1:19" ht="14.25">
      <c r="A36" s="104" t="s">
        <v>66</v>
      </c>
      <c r="B36" s="95">
        <v>561.41654698321588</v>
      </c>
      <c r="C36" s="95">
        <f>'Table E2'!W130*'Table E3'!J40</f>
        <v>379.86014944634701</v>
      </c>
      <c r="D36" s="104">
        <f>'Table E2'!V130*'Table E3'!J40</f>
        <v>346.43940639269408</v>
      </c>
      <c r="E36" s="104">
        <f>'Table E2'!U130*'Table E3'!J40</f>
        <v>301.47669330289193</v>
      </c>
      <c r="G36" s="96" t="s">
        <v>65</v>
      </c>
      <c r="I36" s="96">
        <v>222</v>
      </c>
      <c r="J36" s="319">
        <f>I36/I43</f>
        <v>0.15</v>
      </c>
      <c r="L36" s="502"/>
      <c r="M36" s="502"/>
      <c r="N36" s="502"/>
      <c r="O36" s="502"/>
      <c r="P36" s="403"/>
    </row>
    <row r="37" spans="1:19" ht="14.25">
      <c r="A37" s="104" t="s">
        <v>254</v>
      </c>
      <c r="B37" s="105" t="s">
        <v>10</v>
      </c>
      <c r="C37" s="95">
        <f>'Table E2'!W124</f>
        <v>129.93490867579908</v>
      </c>
      <c r="D37" s="104">
        <f>'Table E2'!V124</f>
        <v>104.98986301369862</v>
      </c>
      <c r="E37" s="104">
        <f>'Table E2'!U124</f>
        <v>113.30268264840183</v>
      </c>
      <c r="G37" s="96" t="s">
        <v>67</v>
      </c>
      <c r="I37" s="96">
        <v>148</v>
      </c>
      <c r="J37" s="319">
        <f>I37/I43</f>
        <v>0.1</v>
      </c>
      <c r="L37" s="502"/>
      <c r="M37" s="502"/>
      <c r="N37" s="502"/>
      <c r="O37" s="502"/>
      <c r="P37" s="403"/>
      <c r="S37" s="335"/>
    </row>
    <row r="38" spans="1:19" ht="14.25">
      <c r="A38" s="104" t="s">
        <v>297</v>
      </c>
      <c r="B38" s="95">
        <v>950.83891930618256</v>
      </c>
      <c r="C38" s="95">
        <f>'Table E2'!W131+'Table E2'!W93+'Table E2'!W94+'Table E2'!W95+'Table E2'!W96+'Table E2'!W97+'Table E2'!W98+'Table E2'!W99+'Table E2'!W100+'Table E2'!W101+'Table E2'!W102+('Table E2'!W130*'Table E3'!J38)</f>
        <v>574.7448567910958</v>
      </c>
      <c r="D38" s="104">
        <f>'Table E2'!V130*'Table E3'!J38</f>
        <v>207.86364383561644</v>
      </c>
      <c r="E38" s="104">
        <f>'Table E2'!U130*'Table E3'!J38</f>
        <v>180.88601598173514</v>
      </c>
      <c r="G38" s="96" t="s">
        <v>255</v>
      </c>
      <c r="I38" s="96">
        <v>222</v>
      </c>
      <c r="J38" s="319">
        <f>I38/I43</f>
        <v>0.15</v>
      </c>
      <c r="S38" s="335"/>
    </row>
    <row r="39" spans="1:19">
      <c r="A39" s="104" t="s">
        <v>68</v>
      </c>
      <c r="B39" s="95">
        <v>4.976872100456621</v>
      </c>
      <c r="C39" s="95">
        <f>'Table E2'!W134</f>
        <v>5.013561643835617</v>
      </c>
      <c r="D39" s="104">
        <f>'Table E2'!V134</f>
        <v>6.1010958904109591</v>
      </c>
      <c r="E39" s="104">
        <f>'Table E2'!U134</f>
        <v>5.324733637747336</v>
      </c>
      <c r="G39" s="96" t="s">
        <v>256</v>
      </c>
      <c r="I39" s="96">
        <v>296</v>
      </c>
      <c r="J39" s="319">
        <f>I39/I43</f>
        <v>0.2</v>
      </c>
      <c r="S39" s="335"/>
    </row>
    <row r="40" spans="1:19">
      <c r="A40" s="104" t="s">
        <v>216</v>
      </c>
      <c r="B40" s="95">
        <v>2.5</v>
      </c>
      <c r="C40" s="95">
        <f>'Table E2'!W137</f>
        <v>3.1482876712328767</v>
      </c>
      <c r="D40" s="104">
        <f>'Table E2'!V137</f>
        <v>3.2605022831050228</v>
      </c>
      <c r="E40" s="104">
        <f>'Table E2'!U137</f>
        <v>2.9316971080669711</v>
      </c>
      <c r="G40" s="320" t="s">
        <v>257</v>
      </c>
      <c r="H40" s="320"/>
      <c r="I40" s="320">
        <v>370</v>
      </c>
      <c r="J40" s="321">
        <f>I40/I43</f>
        <v>0.25</v>
      </c>
      <c r="S40" s="335"/>
    </row>
    <row r="41" spans="1:19">
      <c r="A41" s="96" t="s">
        <v>460</v>
      </c>
      <c r="B41" s="105" t="s">
        <v>10</v>
      </c>
      <c r="C41" s="105" t="s">
        <v>10</v>
      </c>
      <c r="D41" s="105" t="s">
        <v>10</v>
      </c>
      <c r="E41" s="160">
        <f>'Table E2'!U140</f>
        <v>0.5389649923896499</v>
      </c>
      <c r="L41" s="298" t="s">
        <v>69</v>
      </c>
      <c r="M41" s="298"/>
      <c r="S41" s="335"/>
    </row>
    <row r="42" spans="1:19">
      <c r="A42" s="104" t="s">
        <v>71</v>
      </c>
      <c r="B42" s="95">
        <v>2.7276265296803657</v>
      </c>
      <c r="C42" s="95">
        <f>'Table E2'!W143</f>
        <v>2.6610502283105024</v>
      </c>
      <c r="D42" s="104">
        <f>'Table E2'!V143</f>
        <v>2.3508219178082195</v>
      </c>
      <c r="E42" s="104">
        <f>'Table E2'!U143</f>
        <v>3.1838660578386606</v>
      </c>
      <c r="L42" s="298"/>
      <c r="M42" s="298"/>
      <c r="S42" s="335"/>
    </row>
    <row r="43" spans="1:19" ht="14.25">
      <c r="A43" s="104" t="s">
        <v>476</v>
      </c>
      <c r="B43" s="95">
        <v>185.28739726027396</v>
      </c>
      <c r="C43" s="95">
        <f>'Table E2'!W146+'Table E2'!W147+'Table E2'!W148</f>
        <v>229.35867579908677</v>
      </c>
      <c r="D43" s="104">
        <f>'Table E2'!V146+'Table E2'!V147+'Table E2'!V148</f>
        <v>260.8959132420091</v>
      </c>
      <c r="E43" s="104">
        <f>'Table E2'!U146+'Table E2'!U147+'Table E2'!U148</f>
        <v>197.07256468797567</v>
      </c>
      <c r="G43" s="96" t="s">
        <v>6</v>
      </c>
      <c r="I43" s="96">
        <v>1480</v>
      </c>
      <c r="J43" s="319">
        <v>1</v>
      </c>
      <c r="L43" s="298" t="s">
        <v>11</v>
      </c>
      <c r="M43" s="298" t="s">
        <v>70</v>
      </c>
      <c r="S43" s="335"/>
    </row>
    <row r="44" spans="1:19">
      <c r="A44" s="104" t="s">
        <v>72</v>
      </c>
      <c r="B44" s="95">
        <v>48.21313294520548</v>
      </c>
      <c r="C44" s="95">
        <f>'Table E2'!W151</f>
        <v>51.412502579908669</v>
      </c>
      <c r="D44" s="104">
        <f>'Table E2'!V151</f>
        <v>51.904704611872141</v>
      </c>
      <c r="E44" s="104">
        <f>'Table E2'!U151</f>
        <v>53.42891933028919</v>
      </c>
      <c r="L44" s="298" t="s">
        <v>11</v>
      </c>
      <c r="M44" s="298">
        <v>1480</v>
      </c>
      <c r="S44" s="335"/>
    </row>
    <row r="45" spans="1:19" ht="14.25">
      <c r="A45" s="109" t="s">
        <v>282</v>
      </c>
      <c r="B45" s="217" t="s">
        <v>10</v>
      </c>
      <c r="C45" s="110">
        <f>'Table E2'!W51</f>
        <v>1.4995053272450531</v>
      </c>
      <c r="D45" s="109">
        <f>'Table E2'!V51+'Table E2'!V60</f>
        <v>3.9239613242009135</v>
      </c>
      <c r="E45" s="109">
        <f>'Table E2'!U51+'Table E2'!U60+'Table E2'!U10</f>
        <v>9.719406392694065</v>
      </c>
      <c r="L45" s="298"/>
      <c r="M45" s="298"/>
      <c r="S45" s="335"/>
    </row>
    <row r="46" spans="1:19">
      <c r="B46" s="96"/>
      <c r="L46" s="298"/>
      <c r="M46" s="298"/>
      <c r="S46" s="335"/>
    </row>
    <row r="47" spans="1:19">
      <c r="A47" s="4" t="s">
        <v>6</v>
      </c>
      <c r="B47" s="413">
        <v>3278.9</v>
      </c>
      <c r="C47" s="413">
        <f>SUM(C11:C45)</f>
        <v>3234.9187688885586</v>
      </c>
      <c r="D47" s="413">
        <f>SUM(D11:D45)</f>
        <v>3024.528427872373</v>
      </c>
      <c r="E47" s="413">
        <f>SUM(E9:E45)</f>
        <v>2963.2378044140023</v>
      </c>
      <c r="L47" s="298"/>
      <c r="M47" s="298"/>
      <c r="S47" s="335"/>
    </row>
    <row r="48" spans="1:19">
      <c r="B48" s="96"/>
      <c r="L48" s="298"/>
      <c r="M48" s="298"/>
      <c r="S48" s="335"/>
    </row>
    <row r="49" spans="1:19">
      <c r="A49" s="96" t="s">
        <v>334</v>
      </c>
      <c r="B49" s="96"/>
      <c r="L49" s="298"/>
      <c r="M49" s="298"/>
      <c r="S49" s="335"/>
    </row>
    <row r="50" spans="1:19">
      <c r="A50" s="96" t="s">
        <v>437</v>
      </c>
      <c r="S50" s="335"/>
    </row>
    <row r="51" spans="1:19" ht="9" customHeight="1">
      <c r="S51" s="335"/>
    </row>
    <row r="52" spans="1:19" ht="28.9" customHeight="1">
      <c r="A52" s="485" t="s">
        <v>450</v>
      </c>
      <c r="B52" s="485"/>
      <c r="C52" s="485"/>
      <c r="D52" s="485"/>
      <c r="E52" s="485"/>
      <c r="F52" s="485"/>
      <c r="S52" s="335"/>
    </row>
    <row r="53" spans="1:19" ht="42" customHeight="1">
      <c r="A53" s="503" t="s">
        <v>550</v>
      </c>
      <c r="B53" s="503"/>
      <c r="C53" s="503"/>
      <c r="D53" s="503"/>
      <c r="E53" s="503"/>
      <c r="F53" s="503"/>
      <c r="G53" s="317"/>
      <c r="S53" s="335"/>
    </row>
    <row r="54" spans="1:19" ht="15.6" customHeight="1">
      <c r="A54" s="482" t="s">
        <v>451</v>
      </c>
      <c r="B54" s="482"/>
      <c r="C54" s="482"/>
      <c r="D54" s="482"/>
      <c r="E54" s="482"/>
      <c r="F54" s="482"/>
      <c r="G54" s="318"/>
      <c r="S54" s="335"/>
    </row>
    <row r="55" spans="1:19" ht="14.25" customHeight="1">
      <c r="A55" s="482" t="s">
        <v>452</v>
      </c>
      <c r="B55" s="482"/>
      <c r="C55" s="482"/>
      <c r="D55" s="482"/>
      <c r="E55" s="482"/>
      <c r="F55" s="482"/>
      <c r="G55" s="270"/>
      <c r="S55" s="335"/>
    </row>
    <row r="56" spans="1:19" ht="26.25" customHeight="1">
      <c r="A56" s="482" t="s">
        <v>453</v>
      </c>
      <c r="B56" s="482"/>
      <c r="C56" s="482"/>
      <c r="D56" s="482"/>
      <c r="E56" s="482"/>
      <c r="F56" s="482"/>
      <c r="G56" s="270"/>
    </row>
    <row r="57" spans="1:19" ht="16.899999999999999" customHeight="1">
      <c r="A57" s="503" t="s">
        <v>454</v>
      </c>
      <c r="B57" s="503"/>
      <c r="C57" s="503"/>
      <c r="D57" s="503"/>
      <c r="E57" s="503"/>
      <c r="F57" s="503"/>
      <c r="G57" s="270"/>
    </row>
    <row r="58" spans="1:19" ht="14.45" customHeight="1">
      <c r="A58" s="503" t="s">
        <v>455</v>
      </c>
      <c r="B58" s="503"/>
      <c r="C58" s="503"/>
      <c r="D58" s="503"/>
      <c r="E58" s="503"/>
      <c r="F58" s="503"/>
      <c r="G58" s="318"/>
    </row>
    <row r="59" spans="1:19" ht="30.6" customHeight="1">
      <c r="A59" s="501" t="s">
        <v>456</v>
      </c>
      <c r="B59" s="501"/>
      <c r="C59" s="501"/>
      <c r="D59" s="501"/>
      <c r="E59" s="501"/>
      <c r="F59" s="501"/>
    </row>
    <row r="60" spans="1:19" ht="13.15" customHeight="1">
      <c r="A60" s="501" t="s">
        <v>552</v>
      </c>
      <c r="B60" s="501"/>
      <c r="C60" s="501"/>
      <c r="D60" s="501"/>
      <c r="E60" s="501"/>
      <c r="F60" s="284"/>
      <c r="G60" s="284"/>
    </row>
    <row r="61" spans="1:19" ht="13.9" customHeight="1">
      <c r="A61" s="501"/>
      <c r="B61" s="501"/>
      <c r="C61" s="501"/>
      <c r="D61" s="501"/>
      <c r="E61" s="501"/>
      <c r="F61" s="223"/>
      <c r="G61" s="284"/>
    </row>
    <row r="62" spans="1:19" ht="25.5">
      <c r="A62" s="315" t="s">
        <v>311</v>
      </c>
      <c r="B62" s="315"/>
      <c r="C62" s="315"/>
      <c r="D62" s="315"/>
      <c r="E62" s="315"/>
      <c r="F62" s="315"/>
      <c r="G62" s="224"/>
    </row>
    <row r="63" spans="1:19" ht="15.6" customHeight="1">
      <c r="A63" s="315"/>
      <c r="B63" s="315"/>
      <c r="C63" s="315"/>
      <c r="G63" s="315"/>
      <c r="H63" s="158"/>
      <c r="I63" s="158"/>
      <c r="J63" s="158"/>
      <c r="K63" s="158"/>
    </row>
  </sheetData>
  <mergeCells count="12">
    <mergeCell ref="B7:E7"/>
    <mergeCell ref="A60:E61"/>
    <mergeCell ref="L35:O37"/>
    <mergeCell ref="A52:F52"/>
    <mergeCell ref="A53:F53"/>
    <mergeCell ref="A54:F54"/>
    <mergeCell ref="A59:F59"/>
    <mergeCell ref="A57:F57"/>
    <mergeCell ref="A56:F56"/>
    <mergeCell ref="A58:F58"/>
    <mergeCell ref="A55:F55"/>
    <mergeCell ref="H7:I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topLeftCell="A6" zoomScale="75" zoomScaleNormal="75" workbookViewId="0">
      <selection activeCell="AA11" sqref="AA11"/>
    </sheetView>
  </sheetViews>
  <sheetFormatPr defaultRowHeight="15"/>
  <sheetData>
    <row r="1" spans="1:1" ht="18">
      <c r="A1" s="94" t="s">
        <v>596</v>
      </c>
    </row>
    <row r="39" spans="2:2">
      <c r="B39" t="s">
        <v>373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1A99-C6AF-430C-994A-4BB346B78751}">
  <dimension ref="A1:AA84"/>
  <sheetViews>
    <sheetView zoomScale="75" zoomScaleNormal="75" workbookViewId="0">
      <selection activeCell="AA19" sqref="AA19"/>
    </sheetView>
  </sheetViews>
  <sheetFormatPr defaultRowHeight="15"/>
  <cols>
    <col min="20" max="20" width="32.28515625" customWidth="1"/>
    <col min="21" max="21" width="12.7109375" customWidth="1"/>
  </cols>
  <sheetData>
    <row r="1" spans="1:27" ht="17.45" customHeight="1">
      <c r="A1" s="492" t="s">
        <v>553</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row>
    <row r="3" spans="1:27" ht="15.75">
      <c r="T3" s="431" t="s">
        <v>483</v>
      </c>
      <c r="U3" s="431" t="s">
        <v>484</v>
      </c>
    </row>
    <row r="4" spans="1:27">
      <c r="T4" s="170" t="s">
        <v>533</v>
      </c>
      <c r="U4" s="160">
        <v>74.004338127853885</v>
      </c>
    </row>
    <row r="5" spans="1:27">
      <c r="T5" s="96" t="s">
        <v>536</v>
      </c>
      <c r="U5" s="160">
        <v>52.978470319634702</v>
      </c>
    </row>
    <row r="6" spans="1:27">
      <c r="T6" s="170" t="s">
        <v>532</v>
      </c>
      <c r="U6" s="160">
        <v>195.71646118721461</v>
      </c>
    </row>
    <row r="7" spans="1:27">
      <c r="T7" s="160" t="s">
        <v>534</v>
      </c>
      <c r="U7" s="160">
        <v>101.67299086757991</v>
      </c>
    </row>
    <row r="8" spans="1:27">
      <c r="T8" s="160" t="s">
        <v>535</v>
      </c>
      <c r="U8" s="160">
        <v>237.11109589041095</v>
      </c>
    </row>
    <row r="9" spans="1:27">
      <c r="T9" s="160" t="s">
        <v>537</v>
      </c>
      <c r="U9" s="160">
        <v>51.392465753424659</v>
      </c>
    </row>
    <row r="10" spans="1:27">
      <c r="T10" s="160" t="s">
        <v>538</v>
      </c>
      <c r="U10" s="160">
        <v>54.760136986301369</v>
      </c>
    </row>
    <row r="11" spans="1:27">
      <c r="T11" s="160" t="s">
        <v>539</v>
      </c>
      <c r="U11" s="160">
        <v>104.98986301369862</v>
      </c>
    </row>
    <row r="12" spans="1:27">
      <c r="T12" s="160" t="s">
        <v>541</v>
      </c>
      <c r="U12" s="160">
        <v>116.91123287671233</v>
      </c>
    </row>
    <row r="13" spans="1:27">
      <c r="T13" s="160" t="s">
        <v>542</v>
      </c>
      <c r="U13" s="160">
        <v>104.29319634703197</v>
      </c>
    </row>
    <row r="14" spans="1:27">
      <c r="T14" s="160" t="s">
        <v>540</v>
      </c>
      <c r="U14" s="160">
        <v>1385.7576255707763</v>
      </c>
    </row>
    <row r="15" spans="1:27">
      <c r="T15" s="178" t="s">
        <v>543</v>
      </c>
      <c r="U15" s="160">
        <v>51.904704611872141</v>
      </c>
    </row>
    <row r="16" spans="1:27">
      <c r="T16" s="160" t="s">
        <v>544</v>
      </c>
      <c r="U16" s="160">
        <v>700</v>
      </c>
    </row>
    <row r="36" spans="1:27" ht="18">
      <c r="A36" s="492" t="s">
        <v>600</v>
      </c>
      <c r="B36" s="492"/>
      <c r="C36" s="492"/>
      <c r="D36" s="492"/>
      <c r="E36" s="492"/>
      <c r="F36" s="492"/>
      <c r="G36" s="492"/>
      <c r="H36" s="492"/>
      <c r="I36" s="492" t="s">
        <v>604</v>
      </c>
      <c r="J36" s="492"/>
      <c r="K36" s="492"/>
      <c r="L36" s="492"/>
      <c r="M36" s="492"/>
      <c r="N36" s="492"/>
      <c r="O36" s="492"/>
      <c r="P36" s="492"/>
      <c r="Q36" s="492"/>
      <c r="R36" s="492"/>
      <c r="S36" s="492"/>
      <c r="T36" s="492" t="s">
        <v>483</v>
      </c>
      <c r="U36" s="492" t="s">
        <v>601</v>
      </c>
      <c r="V36" s="492"/>
      <c r="W36" s="492"/>
      <c r="X36" s="492"/>
      <c r="Y36" s="492"/>
      <c r="Z36" s="492"/>
      <c r="AA36" s="492"/>
    </row>
    <row r="37" spans="1:27">
      <c r="T37" t="s">
        <v>602</v>
      </c>
      <c r="U37" s="171">
        <v>10820444</v>
      </c>
    </row>
    <row r="38" spans="1:27">
      <c r="T38" t="s">
        <v>535</v>
      </c>
      <c r="U38" s="171">
        <v>1581208</v>
      </c>
    </row>
    <row r="39" spans="1:27">
      <c r="T39" t="s">
        <v>532</v>
      </c>
      <c r="U39" s="171">
        <v>1304311</v>
      </c>
    </row>
    <row r="40" spans="1:27">
      <c r="T40" t="s">
        <v>542</v>
      </c>
      <c r="U40" s="171">
        <v>845979</v>
      </c>
    </row>
    <row r="41" spans="1:27">
      <c r="T41" t="s">
        <v>539</v>
      </c>
      <c r="U41" s="171">
        <v>804794</v>
      </c>
    </row>
    <row r="42" spans="1:27">
      <c r="T42" t="s">
        <v>541</v>
      </c>
      <c r="U42" s="171">
        <v>701188</v>
      </c>
    </row>
    <row r="43" spans="1:27">
      <c r="T43" t="s">
        <v>534</v>
      </c>
      <c r="U43" s="171">
        <v>650165</v>
      </c>
    </row>
    <row r="44" spans="1:27">
      <c r="T44" t="s">
        <v>570</v>
      </c>
      <c r="U44" s="171">
        <v>1315806</v>
      </c>
    </row>
    <row r="45" spans="1:27">
      <c r="T45" t="s">
        <v>420</v>
      </c>
      <c r="U45" s="171">
        <v>723768</v>
      </c>
    </row>
    <row r="46" spans="1:27">
      <c r="T46" t="s">
        <v>603</v>
      </c>
      <c r="U46" s="171">
        <v>563641</v>
      </c>
    </row>
    <row r="71" spans="1:21" ht="18.75">
      <c r="A71" s="446" t="s">
        <v>605</v>
      </c>
      <c r="T71" t="s">
        <v>483</v>
      </c>
      <c r="U71" t="s">
        <v>63</v>
      </c>
    </row>
    <row r="72" spans="1:21">
      <c r="T72" s="424" t="s">
        <v>602</v>
      </c>
      <c r="U72" s="447">
        <v>1480</v>
      </c>
    </row>
    <row r="73" spans="1:21">
      <c r="T73" s="424" t="s">
        <v>532</v>
      </c>
      <c r="U73" s="447">
        <v>580.70000000000005</v>
      </c>
    </row>
    <row r="74" spans="1:21">
      <c r="T74" s="424" t="s">
        <v>535</v>
      </c>
      <c r="U74" s="447">
        <v>525</v>
      </c>
    </row>
    <row r="75" spans="1:21">
      <c r="T75" s="424" t="s">
        <v>534</v>
      </c>
      <c r="U75" s="447">
        <v>428</v>
      </c>
    </row>
    <row r="76" spans="1:21">
      <c r="T76" s="424" t="s">
        <v>542</v>
      </c>
      <c r="U76" s="447">
        <v>287.5</v>
      </c>
    </row>
    <row r="77" spans="1:21">
      <c r="T77" s="424" t="s">
        <v>539</v>
      </c>
      <c r="U77" s="447">
        <v>227.8</v>
      </c>
    </row>
    <row r="78" spans="1:21">
      <c r="T78" s="424" t="s">
        <v>541</v>
      </c>
      <c r="U78" s="447">
        <v>218</v>
      </c>
    </row>
    <row r="79" spans="1:21">
      <c r="T79" s="424" t="s">
        <v>570</v>
      </c>
      <c r="U79" s="447">
        <v>365.5</v>
      </c>
    </row>
    <row r="80" spans="1:21">
      <c r="T80" s="424" t="s">
        <v>420</v>
      </c>
      <c r="U80" s="447">
        <v>239.8</v>
      </c>
    </row>
    <row r="81" spans="20:21">
      <c r="T81" s="424" t="s">
        <v>603</v>
      </c>
      <c r="U81" s="447">
        <v>184.6</v>
      </c>
    </row>
    <row r="83" spans="20:21">
      <c r="T83" s="424"/>
      <c r="U83" s="447"/>
    </row>
    <row r="84" spans="20:21">
      <c r="T84" s="424"/>
      <c r="U84" s="447"/>
    </row>
  </sheetData>
  <mergeCells count="2">
    <mergeCell ref="A1:AA1"/>
    <mergeCell ref="A36:AA3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4"/>
  <sheetViews>
    <sheetView zoomScaleNormal="100" workbookViewId="0">
      <selection sqref="A1:G1"/>
    </sheetView>
  </sheetViews>
  <sheetFormatPr defaultRowHeight="12.75"/>
  <cols>
    <col min="1" max="1" width="9.140625" style="1"/>
    <col min="2" max="2" width="12.85546875" style="90" customWidth="1"/>
    <col min="3" max="3" width="14.28515625" style="90" customWidth="1"/>
    <col min="4" max="4" width="15.5703125" style="90" customWidth="1"/>
    <col min="5" max="5" width="2.28515625" style="1" customWidth="1"/>
    <col min="6" max="6" width="45.7109375" style="1" customWidth="1"/>
    <col min="7" max="7" width="47.140625" style="1" customWidth="1"/>
    <col min="8" max="257" width="9.140625" style="1"/>
    <col min="258" max="258" width="12.85546875" style="1" customWidth="1"/>
    <col min="259" max="259" width="13" style="1" customWidth="1"/>
    <col min="260" max="260" width="15.5703125" style="1" customWidth="1"/>
    <col min="261" max="261" width="2.28515625" style="1" customWidth="1"/>
    <col min="262" max="262" width="45.7109375" style="1" customWidth="1"/>
    <col min="263" max="263" width="47.140625" style="1" customWidth="1"/>
    <col min="264" max="513" width="9.140625" style="1"/>
    <col min="514" max="514" width="12.85546875" style="1" customWidth="1"/>
    <col min="515" max="515" width="13" style="1" customWidth="1"/>
    <col min="516" max="516" width="15.5703125" style="1" customWidth="1"/>
    <col min="517" max="517" width="2.28515625" style="1" customWidth="1"/>
    <col min="518" max="518" width="45.7109375" style="1" customWidth="1"/>
    <col min="519" max="519" width="47.140625" style="1" customWidth="1"/>
    <col min="520" max="769" width="9.140625" style="1"/>
    <col min="770" max="770" width="12.85546875" style="1" customWidth="1"/>
    <col min="771" max="771" width="13" style="1" customWidth="1"/>
    <col min="772" max="772" width="15.5703125" style="1" customWidth="1"/>
    <col min="773" max="773" width="2.28515625" style="1" customWidth="1"/>
    <col min="774" max="774" width="45.7109375" style="1" customWidth="1"/>
    <col min="775" max="775" width="47.140625" style="1" customWidth="1"/>
    <col min="776" max="1025" width="9.140625" style="1"/>
    <col min="1026" max="1026" width="12.85546875" style="1" customWidth="1"/>
    <col min="1027" max="1027" width="13" style="1" customWidth="1"/>
    <col min="1028" max="1028" width="15.5703125" style="1" customWidth="1"/>
    <col min="1029" max="1029" width="2.28515625" style="1" customWidth="1"/>
    <col min="1030" max="1030" width="45.7109375" style="1" customWidth="1"/>
    <col min="1031" max="1031" width="47.140625" style="1" customWidth="1"/>
    <col min="1032" max="1281" width="9.140625" style="1"/>
    <col min="1282" max="1282" width="12.85546875" style="1" customWidth="1"/>
    <col min="1283" max="1283" width="13" style="1" customWidth="1"/>
    <col min="1284" max="1284" width="15.5703125" style="1" customWidth="1"/>
    <col min="1285" max="1285" width="2.28515625" style="1" customWidth="1"/>
    <col min="1286" max="1286" width="45.7109375" style="1" customWidth="1"/>
    <col min="1287" max="1287" width="47.140625" style="1" customWidth="1"/>
    <col min="1288" max="1537" width="9.140625" style="1"/>
    <col min="1538" max="1538" width="12.85546875" style="1" customWidth="1"/>
    <col min="1539" max="1539" width="13" style="1" customWidth="1"/>
    <col min="1540" max="1540" width="15.5703125" style="1" customWidth="1"/>
    <col min="1541" max="1541" width="2.28515625" style="1" customWidth="1"/>
    <col min="1542" max="1542" width="45.7109375" style="1" customWidth="1"/>
    <col min="1543" max="1543" width="47.140625" style="1" customWidth="1"/>
    <col min="1544" max="1793" width="9.140625" style="1"/>
    <col min="1794" max="1794" width="12.85546875" style="1" customWidth="1"/>
    <col min="1795" max="1795" width="13" style="1" customWidth="1"/>
    <col min="1796" max="1796" width="15.5703125" style="1" customWidth="1"/>
    <col min="1797" max="1797" width="2.28515625" style="1" customWidth="1"/>
    <col min="1798" max="1798" width="45.7109375" style="1" customWidth="1"/>
    <col min="1799" max="1799" width="47.140625" style="1" customWidth="1"/>
    <col min="1800" max="2049" width="9.140625" style="1"/>
    <col min="2050" max="2050" width="12.85546875" style="1" customWidth="1"/>
    <col min="2051" max="2051" width="13" style="1" customWidth="1"/>
    <col min="2052" max="2052" width="15.5703125" style="1" customWidth="1"/>
    <col min="2053" max="2053" width="2.28515625" style="1" customWidth="1"/>
    <col min="2054" max="2054" width="45.7109375" style="1" customWidth="1"/>
    <col min="2055" max="2055" width="47.140625" style="1" customWidth="1"/>
    <col min="2056" max="2305" width="9.140625" style="1"/>
    <col min="2306" max="2306" width="12.85546875" style="1" customWidth="1"/>
    <col min="2307" max="2307" width="13" style="1" customWidth="1"/>
    <col min="2308" max="2308" width="15.5703125" style="1" customWidth="1"/>
    <col min="2309" max="2309" width="2.28515625" style="1" customWidth="1"/>
    <col min="2310" max="2310" width="45.7109375" style="1" customWidth="1"/>
    <col min="2311" max="2311" width="47.140625" style="1" customWidth="1"/>
    <col min="2312" max="2561" width="9.140625" style="1"/>
    <col min="2562" max="2562" width="12.85546875" style="1" customWidth="1"/>
    <col min="2563" max="2563" width="13" style="1" customWidth="1"/>
    <col min="2564" max="2564" width="15.5703125" style="1" customWidth="1"/>
    <col min="2565" max="2565" width="2.28515625" style="1" customWidth="1"/>
    <col min="2566" max="2566" width="45.7109375" style="1" customWidth="1"/>
    <col min="2567" max="2567" width="47.140625" style="1" customWidth="1"/>
    <col min="2568" max="2817" width="9.140625" style="1"/>
    <col min="2818" max="2818" width="12.85546875" style="1" customWidth="1"/>
    <col min="2819" max="2819" width="13" style="1" customWidth="1"/>
    <col min="2820" max="2820" width="15.5703125" style="1" customWidth="1"/>
    <col min="2821" max="2821" width="2.28515625" style="1" customWidth="1"/>
    <col min="2822" max="2822" width="45.7109375" style="1" customWidth="1"/>
    <col min="2823" max="2823" width="47.140625" style="1" customWidth="1"/>
    <col min="2824" max="3073" width="9.140625" style="1"/>
    <col min="3074" max="3074" width="12.85546875" style="1" customWidth="1"/>
    <col min="3075" max="3075" width="13" style="1" customWidth="1"/>
    <col min="3076" max="3076" width="15.5703125" style="1" customWidth="1"/>
    <col min="3077" max="3077" width="2.28515625" style="1" customWidth="1"/>
    <col min="3078" max="3078" width="45.7109375" style="1" customWidth="1"/>
    <col min="3079" max="3079" width="47.140625" style="1" customWidth="1"/>
    <col min="3080" max="3329" width="9.140625" style="1"/>
    <col min="3330" max="3330" width="12.85546875" style="1" customWidth="1"/>
    <col min="3331" max="3331" width="13" style="1" customWidth="1"/>
    <col min="3332" max="3332" width="15.5703125" style="1" customWidth="1"/>
    <col min="3333" max="3333" width="2.28515625" style="1" customWidth="1"/>
    <col min="3334" max="3334" width="45.7109375" style="1" customWidth="1"/>
    <col min="3335" max="3335" width="47.140625" style="1" customWidth="1"/>
    <col min="3336" max="3585" width="9.140625" style="1"/>
    <col min="3586" max="3586" width="12.85546875" style="1" customWidth="1"/>
    <col min="3587" max="3587" width="13" style="1" customWidth="1"/>
    <col min="3588" max="3588" width="15.5703125" style="1" customWidth="1"/>
    <col min="3589" max="3589" width="2.28515625" style="1" customWidth="1"/>
    <col min="3590" max="3590" width="45.7109375" style="1" customWidth="1"/>
    <col min="3591" max="3591" width="47.140625" style="1" customWidth="1"/>
    <col min="3592" max="3841" width="9.140625" style="1"/>
    <col min="3842" max="3842" width="12.85546875" style="1" customWidth="1"/>
    <col min="3843" max="3843" width="13" style="1" customWidth="1"/>
    <col min="3844" max="3844" width="15.5703125" style="1" customWidth="1"/>
    <col min="3845" max="3845" width="2.28515625" style="1" customWidth="1"/>
    <col min="3846" max="3846" width="45.7109375" style="1" customWidth="1"/>
    <col min="3847" max="3847" width="47.140625" style="1" customWidth="1"/>
    <col min="3848" max="4097" width="9.140625" style="1"/>
    <col min="4098" max="4098" width="12.85546875" style="1" customWidth="1"/>
    <col min="4099" max="4099" width="13" style="1" customWidth="1"/>
    <col min="4100" max="4100" width="15.5703125" style="1" customWidth="1"/>
    <col min="4101" max="4101" width="2.28515625" style="1" customWidth="1"/>
    <col min="4102" max="4102" width="45.7109375" style="1" customWidth="1"/>
    <col min="4103" max="4103" width="47.140625" style="1" customWidth="1"/>
    <col min="4104" max="4353" width="9.140625" style="1"/>
    <col min="4354" max="4354" width="12.85546875" style="1" customWidth="1"/>
    <col min="4355" max="4355" width="13" style="1" customWidth="1"/>
    <col min="4356" max="4356" width="15.5703125" style="1" customWidth="1"/>
    <col min="4357" max="4357" width="2.28515625" style="1" customWidth="1"/>
    <col min="4358" max="4358" width="45.7109375" style="1" customWidth="1"/>
    <col min="4359" max="4359" width="47.140625" style="1" customWidth="1"/>
    <col min="4360" max="4609" width="9.140625" style="1"/>
    <col min="4610" max="4610" width="12.85546875" style="1" customWidth="1"/>
    <col min="4611" max="4611" width="13" style="1" customWidth="1"/>
    <col min="4612" max="4612" width="15.5703125" style="1" customWidth="1"/>
    <col min="4613" max="4613" width="2.28515625" style="1" customWidth="1"/>
    <col min="4614" max="4614" width="45.7109375" style="1" customWidth="1"/>
    <col min="4615" max="4615" width="47.140625" style="1" customWidth="1"/>
    <col min="4616" max="4865" width="9.140625" style="1"/>
    <col min="4866" max="4866" width="12.85546875" style="1" customWidth="1"/>
    <col min="4867" max="4867" width="13" style="1" customWidth="1"/>
    <col min="4868" max="4868" width="15.5703125" style="1" customWidth="1"/>
    <col min="4869" max="4869" width="2.28515625" style="1" customWidth="1"/>
    <col min="4870" max="4870" width="45.7109375" style="1" customWidth="1"/>
    <col min="4871" max="4871" width="47.140625" style="1" customWidth="1"/>
    <col min="4872" max="5121" width="9.140625" style="1"/>
    <col min="5122" max="5122" width="12.85546875" style="1" customWidth="1"/>
    <col min="5123" max="5123" width="13" style="1" customWidth="1"/>
    <col min="5124" max="5124" width="15.5703125" style="1" customWidth="1"/>
    <col min="5125" max="5125" width="2.28515625" style="1" customWidth="1"/>
    <col min="5126" max="5126" width="45.7109375" style="1" customWidth="1"/>
    <col min="5127" max="5127" width="47.140625" style="1" customWidth="1"/>
    <col min="5128" max="5377" width="9.140625" style="1"/>
    <col min="5378" max="5378" width="12.85546875" style="1" customWidth="1"/>
    <col min="5379" max="5379" width="13" style="1" customWidth="1"/>
    <col min="5380" max="5380" width="15.5703125" style="1" customWidth="1"/>
    <col min="5381" max="5381" width="2.28515625" style="1" customWidth="1"/>
    <col min="5382" max="5382" width="45.7109375" style="1" customWidth="1"/>
    <col min="5383" max="5383" width="47.140625" style="1" customWidth="1"/>
    <col min="5384" max="5633" width="9.140625" style="1"/>
    <col min="5634" max="5634" width="12.85546875" style="1" customWidth="1"/>
    <col min="5635" max="5635" width="13" style="1" customWidth="1"/>
    <col min="5636" max="5636" width="15.5703125" style="1" customWidth="1"/>
    <col min="5637" max="5637" width="2.28515625" style="1" customWidth="1"/>
    <col min="5638" max="5638" width="45.7109375" style="1" customWidth="1"/>
    <col min="5639" max="5639" width="47.140625" style="1" customWidth="1"/>
    <col min="5640" max="5889" width="9.140625" style="1"/>
    <col min="5890" max="5890" width="12.85546875" style="1" customWidth="1"/>
    <col min="5891" max="5891" width="13" style="1" customWidth="1"/>
    <col min="5892" max="5892" width="15.5703125" style="1" customWidth="1"/>
    <col min="5893" max="5893" width="2.28515625" style="1" customWidth="1"/>
    <col min="5894" max="5894" width="45.7109375" style="1" customWidth="1"/>
    <col min="5895" max="5895" width="47.140625" style="1" customWidth="1"/>
    <col min="5896" max="6145" width="9.140625" style="1"/>
    <col min="6146" max="6146" width="12.85546875" style="1" customWidth="1"/>
    <col min="6147" max="6147" width="13" style="1" customWidth="1"/>
    <col min="6148" max="6148" width="15.5703125" style="1" customWidth="1"/>
    <col min="6149" max="6149" width="2.28515625" style="1" customWidth="1"/>
    <col min="6150" max="6150" width="45.7109375" style="1" customWidth="1"/>
    <col min="6151" max="6151" width="47.140625" style="1" customWidth="1"/>
    <col min="6152" max="6401" width="9.140625" style="1"/>
    <col min="6402" max="6402" width="12.85546875" style="1" customWidth="1"/>
    <col min="6403" max="6403" width="13" style="1" customWidth="1"/>
    <col min="6404" max="6404" width="15.5703125" style="1" customWidth="1"/>
    <col min="6405" max="6405" width="2.28515625" style="1" customWidth="1"/>
    <col min="6406" max="6406" width="45.7109375" style="1" customWidth="1"/>
    <col min="6407" max="6407" width="47.140625" style="1" customWidth="1"/>
    <col min="6408" max="6657" width="9.140625" style="1"/>
    <col min="6658" max="6658" width="12.85546875" style="1" customWidth="1"/>
    <col min="6659" max="6659" width="13" style="1" customWidth="1"/>
    <col min="6660" max="6660" width="15.5703125" style="1" customWidth="1"/>
    <col min="6661" max="6661" width="2.28515625" style="1" customWidth="1"/>
    <col min="6662" max="6662" width="45.7109375" style="1" customWidth="1"/>
    <col min="6663" max="6663" width="47.140625" style="1" customWidth="1"/>
    <col min="6664" max="6913" width="9.140625" style="1"/>
    <col min="6914" max="6914" width="12.85546875" style="1" customWidth="1"/>
    <col min="6915" max="6915" width="13" style="1" customWidth="1"/>
    <col min="6916" max="6916" width="15.5703125" style="1" customWidth="1"/>
    <col min="6917" max="6917" width="2.28515625" style="1" customWidth="1"/>
    <col min="6918" max="6918" width="45.7109375" style="1" customWidth="1"/>
    <col min="6919" max="6919" width="47.140625" style="1" customWidth="1"/>
    <col min="6920" max="7169" width="9.140625" style="1"/>
    <col min="7170" max="7170" width="12.85546875" style="1" customWidth="1"/>
    <col min="7171" max="7171" width="13" style="1" customWidth="1"/>
    <col min="7172" max="7172" width="15.5703125" style="1" customWidth="1"/>
    <col min="7173" max="7173" width="2.28515625" style="1" customWidth="1"/>
    <col min="7174" max="7174" width="45.7109375" style="1" customWidth="1"/>
    <col min="7175" max="7175" width="47.140625" style="1" customWidth="1"/>
    <col min="7176" max="7425" width="9.140625" style="1"/>
    <col min="7426" max="7426" width="12.85546875" style="1" customWidth="1"/>
    <col min="7427" max="7427" width="13" style="1" customWidth="1"/>
    <col min="7428" max="7428" width="15.5703125" style="1" customWidth="1"/>
    <col min="7429" max="7429" width="2.28515625" style="1" customWidth="1"/>
    <col min="7430" max="7430" width="45.7109375" style="1" customWidth="1"/>
    <col min="7431" max="7431" width="47.140625" style="1" customWidth="1"/>
    <col min="7432" max="7681" width="9.140625" style="1"/>
    <col min="7682" max="7682" width="12.85546875" style="1" customWidth="1"/>
    <col min="7683" max="7683" width="13" style="1" customWidth="1"/>
    <col min="7684" max="7684" width="15.5703125" style="1" customWidth="1"/>
    <col min="7685" max="7685" width="2.28515625" style="1" customWidth="1"/>
    <col min="7686" max="7686" width="45.7109375" style="1" customWidth="1"/>
    <col min="7687" max="7687" width="47.140625" style="1" customWidth="1"/>
    <col min="7688" max="7937" width="9.140625" style="1"/>
    <col min="7938" max="7938" width="12.85546875" style="1" customWidth="1"/>
    <col min="7939" max="7939" width="13" style="1" customWidth="1"/>
    <col min="7940" max="7940" width="15.5703125" style="1" customWidth="1"/>
    <col min="7941" max="7941" width="2.28515625" style="1" customWidth="1"/>
    <col min="7942" max="7942" width="45.7109375" style="1" customWidth="1"/>
    <col min="7943" max="7943" width="47.140625" style="1" customWidth="1"/>
    <col min="7944" max="8193" width="9.140625" style="1"/>
    <col min="8194" max="8194" width="12.85546875" style="1" customWidth="1"/>
    <col min="8195" max="8195" width="13" style="1" customWidth="1"/>
    <col min="8196" max="8196" width="15.5703125" style="1" customWidth="1"/>
    <col min="8197" max="8197" width="2.28515625" style="1" customWidth="1"/>
    <col min="8198" max="8198" width="45.7109375" style="1" customWidth="1"/>
    <col min="8199" max="8199" width="47.140625" style="1" customWidth="1"/>
    <col min="8200" max="8449" width="9.140625" style="1"/>
    <col min="8450" max="8450" width="12.85546875" style="1" customWidth="1"/>
    <col min="8451" max="8451" width="13" style="1" customWidth="1"/>
    <col min="8452" max="8452" width="15.5703125" style="1" customWidth="1"/>
    <col min="8453" max="8453" width="2.28515625" style="1" customWidth="1"/>
    <col min="8454" max="8454" width="45.7109375" style="1" customWidth="1"/>
    <col min="8455" max="8455" width="47.140625" style="1" customWidth="1"/>
    <col min="8456" max="8705" width="9.140625" style="1"/>
    <col min="8706" max="8706" width="12.85546875" style="1" customWidth="1"/>
    <col min="8707" max="8707" width="13" style="1" customWidth="1"/>
    <col min="8708" max="8708" width="15.5703125" style="1" customWidth="1"/>
    <col min="8709" max="8709" width="2.28515625" style="1" customWidth="1"/>
    <col min="8710" max="8710" width="45.7109375" style="1" customWidth="1"/>
    <col min="8711" max="8711" width="47.140625" style="1" customWidth="1"/>
    <col min="8712" max="8961" width="9.140625" style="1"/>
    <col min="8962" max="8962" width="12.85546875" style="1" customWidth="1"/>
    <col min="8963" max="8963" width="13" style="1" customWidth="1"/>
    <col min="8964" max="8964" width="15.5703125" style="1" customWidth="1"/>
    <col min="8965" max="8965" width="2.28515625" style="1" customWidth="1"/>
    <col min="8966" max="8966" width="45.7109375" style="1" customWidth="1"/>
    <col min="8967" max="8967" width="47.140625" style="1" customWidth="1"/>
    <col min="8968" max="9217" width="9.140625" style="1"/>
    <col min="9218" max="9218" width="12.85546875" style="1" customWidth="1"/>
    <col min="9219" max="9219" width="13" style="1" customWidth="1"/>
    <col min="9220" max="9220" width="15.5703125" style="1" customWidth="1"/>
    <col min="9221" max="9221" width="2.28515625" style="1" customWidth="1"/>
    <col min="9222" max="9222" width="45.7109375" style="1" customWidth="1"/>
    <col min="9223" max="9223" width="47.140625" style="1" customWidth="1"/>
    <col min="9224" max="9473" width="9.140625" style="1"/>
    <col min="9474" max="9474" width="12.85546875" style="1" customWidth="1"/>
    <col min="9475" max="9475" width="13" style="1" customWidth="1"/>
    <col min="9476" max="9476" width="15.5703125" style="1" customWidth="1"/>
    <col min="9477" max="9477" width="2.28515625" style="1" customWidth="1"/>
    <col min="9478" max="9478" width="45.7109375" style="1" customWidth="1"/>
    <col min="9479" max="9479" width="47.140625" style="1" customWidth="1"/>
    <col min="9480" max="9729" width="9.140625" style="1"/>
    <col min="9730" max="9730" width="12.85546875" style="1" customWidth="1"/>
    <col min="9731" max="9731" width="13" style="1" customWidth="1"/>
    <col min="9732" max="9732" width="15.5703125" style="1" customWidth="1"/>
    <col min="9733" max="9733" width="2.28515625" style="1" customWidth="1"/>
    <col min="9734" max="9734" width="45.7109375" style="1" customWidth="1"/>
    <col min="9735" max="9735" width="47.140625" style="1" customWidth="1"/>
    <col min="9736" max="9985" width="9.140625" style="1"/>
    <col min="9986" max="9986" width="12.85546875" style="1" customWidth="1"/>
    <col min="9987" max="9987" width="13" style="1" customWidth="1"/>
    <col min="9988" max="9988" width="15.5703125" style="1" customWidth="1"/>
    <col min="9989" max="9989" width="2.28515625" style="1" customWidth="1"/>
    <col min="9990" max="9990" width="45.7109375" style="1" customWidth="1"/>
    <col min="9991" max="9991" width="47.140625" style="1" customWidth="1"/>
    <col min="9992" max="10241" width="9.140625" style="1"/>
    <col min="10242" max="10242" width="12.85546875" style="1" customWidth="1"/>
    <col min="10243" max="10243" width="13" style="1" customWidth="1"/>
    <col min="10244" max="10244" width="15.5703125" style="1" customWidth="1"/>
    <col min="10245" max="10245" width="2.28515625" style="1" customWidth="1"/>
    <col min="10246" max="10246" width="45.7109375" style="1" customWidth="1"/>
    <col min="10247" max="10247" width="47.140625" style="1" customWidth="1"/>
    <col min="10248" max="10497" width="9.140625" style="1"/>
    <col min="10498" max="10498" width="12.85546875" style="1" customWidth="1"/>
    <col min="10499" max="10499" width="13" style="1" customWidth="1"/>
    <col min="10500" max="10500" width="15.5703125" style="1" customWidth="1"/>
    <col min="10501" max="10501" width="2.28515625" style="1" customWidth="1"/>
    <col min="10502" max="10502" width="45.7109375" style="1" customWidth="1"/>
    <col min="10503" max="10503" width="47.140625" style="1" customWidth="1"/>
    <col min="10504" max="10753" width="9.140625" style="1"/>
    <col min="10754" max="10754" width="12.85546875" style="1" customWidth="1"/>
    <col min="10755" max="10755" width="13" style="1" customWidth="1"/>
    <col min="10756" max="10756" width="15.5703125" style="1" customWidth="1"/>
    <col min="10757" max="10757" width="2.28515625" style="1" customWidth="1"/>
    <col min="10758" max="10758" width="45.7109375" style="1" customWidth="1"/>
    <col min="10759" max="10759" width="47.140625" style="1" customWidth="1"/>
    <col min="10760" max="11009" width="9.140625" style="1"/>
    <col min="11010" max="11010" width="12.85546875" style="1" customWidth="1"/>
    <col min="11011" max="11011" width="13" style="1" customWidth="1"/>
    <col min="11012" max="11012" width="15.5703125" style="1" customWidth="1"/>
    <col min="11013" max="11013" width="2.28515625" style="1" customWidth="1"/>
    <col min="11014" max="11014" width="45.7109375" style="1" customWidth="1"/>
    <col min="11015" max="11015" width="47.140625" style="1" customWidth="1"/>
    <col min="11016" max="11265" width="9.140625" style="1"/>
    <col min="11266" max="11266" width="12.85546875" style="1" customWidth="1"/>
    <col min="11267" max="11267" width="13" style="1" customWidth="1"/>
    <col min="11268" max="11268" width="15.5703125" style="1" customWidth="1"/>
    <col min="11269" max="11269" width="2.28515625" style="1" customWidth="1"/>
    <col min="11270" max="11270" width="45.7109375" style="1" customWidth="1"/>
    <col min="11271" max="11271" width="47.140625" style="1" customWidth="1"/>
    <col min="11272" max="11521" width="9.140625" style="1"/>
    <col min="11522" max="11522" width="12.85546875" style="1" customWidth="1"/>
    <col min="11523" max="11523" width="13" style="1" customWidth="1"/>
    <col min="11524" max="11524" width="15.5703125" style="1" customWidth="1"/>
    <col min="11525" max="11525" width="2.28515625" style="1" customWidth="1"/>
    <col min="11526" max="11526" width="45.7109375" style="1" customWidth="1"/>
    <col min="11527" max="11527" width="47.140625" style="1" customWidth="1"/>
    <col min="11528" max="11777" width="9.140625" style="1"/>
    <col min="11778" max="11778" width="12.85546875" style="1" customWidth="1"/>
    <col min="11779" max="11779" width="13" style="1" customWidth="1"/>
    <col min="11780" max="11780" width="15.5703125" style="1" customWidth="1"/>
    <col min="11781" max="11781" width="2.28515625" style="1" customWidth="1"/>
    <col min="11782" max="11782" width="45.7109375" style="1" customWidth="1"/>
    <col min="11783" max="11783" width="47.140625" style="1" customWidth="1"/>
    <col min="11784" max="12033" width="9.140625" style="1"/>
    <col min="12034" max="12034" width="12.85546875" style="1" customWidth="1"/>
    <col min="12035" max="12035" width="13" style="1" customWidth="1"/>
    <col min="12036" max="12036" width="15.5703125" style="1" customWidth="1"/>
    <col min="12037" max="12037" width="2.28515625" style="1" customWidth="1"/>
    <col min="12038" max="12038" width="45.7109375" style="1" customWidth="1"/>
    <col min="12039" max="12039" width="47.140625" style="1" customWidth="1"/>
    <col min="12040" max="12289" width="9.140625" style="1"/>
    <col min="12290" max="12290" width="12.85546875" style="1" customWidth="1"/>
    <col min="12291" max="12291" width="13" style="1" customWidth="1"/>
    <col min="12292" max="12292" width="15.5703125" style="1" customWidth="1"/>
    <col min="12293" max="12293" width="2.28515625" style="1" customWidth="1"/>
    <col min="12294" max="12294" width="45.7109375" style="1" customWidth="1"/>
    <col min="12295" max="12295" width="47.140625" style="1" customWidth="1"/>
    <col min="12296" max="12545" width="9.140625" style="1"/>
    <col min="12546" max="12546" width="12.85546875" style="1" customWidth="1"/>
    <col min="12547" max="12547" width="13" style="1" customWidth="1"/>
    <col min="12548" max="12548" width="15.5703125" style="1" customWidth="1"/>
    <col min="12549" max="12549" width="2.28515625" style="1" customWidth="1"/>
    <col min="12550" max="12550" width="45.7109375" style="1" customWidth="1"/>
    <col min="12551" max="12551" width="47.140625" style="1" customWidth="1"/>
    <col min="12552" max="12801" width="9.140625" style="1"/>
    <col min="12802" max="12802" width="12.85546875" style="1" customWidth="1"/>
    <col min="12803" max="12803" width="13" style="1" customWidth="1"/>
    <col min="12804" max="12804" width="15.5703125" style="1" customWidth="1"/>
    <col min="12805" max="12805" width="2.28515625" style="1" customWidth="1"/>
    <col min="12806" max="12806" width="45.7109375" style="1" customWidth="1"/>
    <col min="12807" max="12807" width="47.140625" style="1" customWidth="1"/>
    <col min="12808" max="13057" width="9.140625" style="1"/>
    <col min="13058" max="13058" width="12.85546875" style="1" customWidth="1"/>
    <col min="13059" max="13059" width="13" style="1" customWidth="1"/>
    <col min="13060" max="13060" width="15.5703125" style="1" customWidth="1"/>
    <col min="13061" max="13061" width="2.28515625" style="1" customWidth="1"/>
    <col min="13062" max="13062" width="45.7109375" style="1" customWidth="1"/>
    <col min="13063" max="13063" width="47.140625" style="1" customWidth="1"/>
    <col min="13064" max="13313" width="9.140625" style="1"/>
    <col min="13314" max="13314" width="12.85546875" style="1" customWidth="1"/>
    <col min="13315" max="13315" width="13" style="1" customWidth="1"/>
    <col min="13316" max="13316" width="15.5703125" style="1" customWidth="1"/>
    <col min="13317" max="13317" width="2.28515625" style="1" customWidth="1"/>
    <col min="13318" max="13318" width="45.7109375" style="1" customWidth="1"/>
    <col min="13319" max="13319" width="47.140625" style="1" customWidth="1"/>
    <col min="13320" max="13569" width="9.140625" style="1"/>
    <col min="13570" max="13570" width="12.85546875" style="1" customWidth="1"/>
    <col min="13571" max="13571" width="13" style="1" customWidth="1"/>
    <col min="13572" max="13572" width="15.5703125" style="1" customWidth="1"/>
    <col min="13573" max="13573" width="2.28515625" style="1" customWidth="1"/>
    <col min="13574" max="13574" width="45.7109375" style="1" customWidth="1"/>
    <col min="13575" max="13575" width="47.140625" style="1" customWidth="1"/>
    <col min="13576" max="13825" width="9.140625" style="1"/>
    <col min="13826" max="13826" width="12.85546875" style="1" customWidth="1"/>
    <col min="13827" max="13827" width="13" style="1" customWidth="1"/>
    <col min="13828" max="13828" width="15.5703125" style="1" customWidth="1"/>
    <col min="13829" max="13829" width="2.28515625" style="1" customWidth="1"/>
    <col min="13830" max="13830" width="45.7109375" style="1" customWidth="1"/>
    <col min="13831" max="13831" width="47.140625" style="1" customWidth="1"/>
    <col min="13832" max="14081" width="9.140625" style="1"/>
    <col min="14082" max="14082" width="12.85546875" style="1" customWidth="1"/>
    <col min="14083" max="14083" width="13" style="1" customWidth="1"/>
    <col min="14084" max="14084" width="15.5703125" style="1" customWidth="1"/>
    <col min="14085" max="14085" width="2.28515625" style="1" customWidth="1"/>
    <col min="14086" max="14086" width="45.7109375" style="1" customWidth="1"/>
    <col min="14087" max="14087" width="47.140625" style="1" customWidth="1"/>
    <col min="14088" max="14337" width="9.140625" style="1"/>
    <col min="14338" max="14338" width="12.85546875" style="1" customWidth="1"/>
    <col min="14339" max="14339" width="13" style="1" customWidth="1"/>
    <col min="14340" max="14340" width="15.5703125" style="1" customWidth="1"/>
    <col min="14341" max="14341" width="2.28515625" style="1" customWidth="1"/>
    <col min="14342" max="14342" width="45.7109375" style="1" customWidth="1"/>
    <col min="14343" max="14343" width="47.140625" style="1" customWidth="1"/>
    <col min="14344" max="14593" width="9.140625" style="1"/>
    <col min="14594" max="14594" width="12.85546875" style="1" customWidth="1"/>
    <col min="14595" max="14595" width="13" style="1" customWidth="1"/>
    <col min="14596" max="14596" width="15.5703125" style="1" customWidth="1"/>
    <col min="14597" max="14597" width="2.28515625" style="1" customWidth="1"/>
    <col min="14598" max="14598" width="45.7109375" style="1" customWidth="1"/>
    <col min="14599" max="14599" width="47.140625" style="1" customWidth="1"/>
    <col min="14600" max="14849" width="9.140625" style="1"/>
    <col min="14850" max="14850" width="12.85546875" style="1" customWidth="1"/>
    <col min="14851" max="14851" width="13" style="1" customWidth="1"/>
    <col min="14852" max="14852" width="15.5703125" style="1" customWidth="1"/>
    <col min="14853" max="14853" width="2.28515625" style="1" customWidth="1"/>
    <col min="14854" max="14854" width="45.7109375" style="1" customWidth="1"/>
    <col min="14855" max="14855" width="47.140625" style="1" customWidth="1"/>
    <col min="14856" max="15105" width="9.140625" style="1"/>
    <col min="15106" max="15106" width="12.85546875" style="1" customWidth="1"/>
    <col min="15107" max="15107" width="13" style="1" customWidth="1"/>
    <col min="15108" max="15108" width="15.5703125" style="1" customWidth="1"/>
    <col min="15109" max="15109" width="2.28515625" style="1" customWidth="1"/>
    <col min="15110" max="15110" width="45.7109375" style="1" customWidth="1"/>
    <col min="15111" max="15111" width="47.140625" style="1" customWidth="1"/>
    <col min="15112" max="15361" width="9.140625" style="1"/>
    <col min="15362" max="15362" width="12.85546875" style="1" customWidth="1"/>
    <col min="15363" max="15363" width="13" style="1" customWidth="1"/>
    <col min="15364" max="15364" width="15.5703125" style="1" customWidth="1"/>
    <col min="15365" max="15365" width="2.28515625" style="1" customWidth="1"/>
    <col min="15366" max="15366" width="45.7109375" style="1" customWidth="1"/>
    <col min="15367" max="15367" width="47.140625" style="1" customWidth="1"/>
    <col min="15368" max="15617" width="9.140625" style="1"/>
    <col min="15618" max="15618" width="12.85546875" style="1" customWidth="1"/>
    <col min="15619" max="15619" width="13" style="1" customWidth="1"/>
    <col min="15620" max="15620" width="15.5703125" style="1" customWidth="1"/>
    <col min="15621" max="15621" width="2.28515625" style="1" customWidth="1"/>
    <col min="15622" max="15622" width="45.7109375" style="1" customWidth="1"/>
    <col min="15623" max="15623" width="47.140625" style="1" customWidth="1"/>
    <col min="15624" max="15873" width="9.140625" style="1"/>
    <col min="15874" max="15874" width="12.85546875" style="1" customWidth="1"/>
    <col min="15875" max="15875" width="13" style="1" customWidth="1"/>
    <col min="15876" max="15876" width="15.5703125" style="1" customWidth="1"/>
    <col min="15877" max="15877" width="2.28515625" style="1" customWidth="1"/>
    <col min="15878" max="15878" width="45.7109375" style="1" customWidth="1"/>
    <col min="15879" max="15879" width="47.140625" style="1" customWidth="1"/>
    <col min="15880" max="16129" width="9.140625" style="1"/>
    <col min="16130" max="16130" width="12.85546875" style="1" customWidth="1"/>
    <col min="16131" max="16131" width="13" style="1" customWidth="1"/>
    <col min="16132" max="16132" width="15.5703125" style="1" customWidth="1"/>
    <col min="16133" max="16133" width="2.28515625" style="1" customWidth="1"/>
    <col min="16134" max="16134" width="45.7109375" style="1" customWidth="1"/>
    <col min="16135" max="16135" width="47.140625" style="1" customWidth="1"/>
    <col min="16136" max="16384" width="9.140625" style="1"/>
  </cols>
  <sheetData>
    <row r="1" spans="1:7" ht="18">
      <c r="A1" s="509" t="s">
        <v>607</v>
      </c>
      <c r="B1" s="510"/>
      <c r="C1" s="510"/>
      <c r="D1" s="510"/>
      <c r="E1" s="511"/>
      <c r="F1" s="511"/>
      <c r="G1" s="511"/>
    </row>
    <row r="2" spans="1:7" ht="7.15" customHeight="1">
      <c r="A2" s="69"/>
      <c r="B2" s="69"/>
      <c r="C2" s="69"/>
      <c r="D2" s="69"/>
      <c r="E2" s="70"/>
      <c r="F2" s="70"/>
      <c r="G2" s="71"/>
    </row>
    <row r="3" spans="1:7" ht="17.45" customHeight="1">
      <c r="A3" s="72"/>
      <c r="B3" s="73" t="s">
        <v>238</v>
      </c>
      <c r="C3" s="73" t="s">
        <v>237</v>
      </c>
      <c r="D3" s="73" t="s">
        <v>285</v>
      </c>
      <c r="E3" s="71"/>
      <c r="F3" s="71"/>
      <c r="G3" s="71"/>
    </row>
    <row r="4" spans="1:7">
      <c r="A4" s="13" t="s">
        <v>24</v>
      </c>
      <c r="B4" s="512" t="s">
        <v>35</v>
      </c>
      <c r="C4" s="512" t="s">
        <v>36</v>
      </c>
      <c r="D4" s="512" t="s">
        <v>37</v>
      </c>
      <c r="E4" s="71"/>
      <c r="F4" s="71"/>
      <c r="G4" s="71"/>
    </row>
    <row r="5" spans="1:7">
      <c r="A5" s="74"/>
      <c r="B5" s="513"/>
      <c r="C5" s="513" t="s">
        <v>38</v>
      </c>
      <c r="D5" s="513" t="s">
        <v>39</v>
      </c>
      <c r="E5" s="71"/>
      <c r="F5" s="71"/>
      <c r="G5" s="71"/>
    </row>
    <row r="6" spans="1:7" ht="6" customHeight="1">
      <c r="A6" s="72"/>
      <c r="B6" s="75"/>
      <c r="C6" s="75"/>
      <c r="D6" s="75"/>
      <c r="E6" s="71"/>
      <c r="F6" s="71"/>
      <c r="G6" s="71"/>
    </row>
    <row r="7" spans="1:7">
      <c r="A7" s="18">
        <v>1960</v>
      </c>
      <c r="B7" s="76">
        <v>186.9</v>
      </c>
      <c r="C7" s="77" t="s">
        <v>27</v>
      </c>
      <c r="D7" s="76">
        <v>341.3</v>
      </c>
      <c r="E7" s="78"/>
      <c r="F7" s="71"/>
      <c r="G7" s="71"/>
    </row>
    <row r="8" spans="1:7">
      <c r="A8" s="18">
        <v>1961</v>
      </c>
      <c r="B8" s="76">
        <v>262.5</v>
      </c>
      <c r="C8" s="77" t="s">
        <v>27</v>
      </c>
      <c r="D8" s="76">
        <v>356.2</v>
      </c>
      <c r="E8" s="78"/>
      <c r="F8" s="71"/>
      <c r="G8" s="71"/>
    </row>
    <row r="9" spans="1:7">
      <c r="A9" s="18">
        <v>1962</v>
      </c>
      <c r="B9" s="76">
        <v>291.60000000000002</v>
      </c>
      <c r="C9" s="76">
        <v>1.3</v>
      </c>
      <c r="D9" s="76">
        <v>3712.5</v>
      </c>
      <c r="E9" s="78"/>
      <c r="F9" s="71"/>
      <c r="G9" s="71"/>
    </row>
    <row r="10" spans="1:7">
      <c r="A10" s="18">
        <v>1963</v>
      </c>
      <c r="B10" s="76">
        <v>285.5</v>
      </c>
      <c r="C10" s="76">
        <v>0.7</v>
      </c>
      <c r="D10" s="76">
        <v>3303.3</v>
      </c>
      <c r="E10" s="78"/>
      <c r="F10" s="71"/>
      <c r="G10" s="71"/>
    </row>
    <row r="11" spans="1:7">
      <c r="A11" s="18">
        <v>1964</v>
      </c>
      <c r="B11" s="76">
        <v>293.8</v>
      </c>
      <c r="C11" s="76">
        <v>3.6</v>
      </c>
      <c r="D11" s="76">
        <v>2449.5</v>
      </c>
      <c r="E11" s="78"/>
      <c r="F11" s="71"/>
      <c r="G11" s="71"/>
    </row>
    <row r="12" spans="1:7">
      <c r="A12" s="18">
        <v>1965</v>
      </c>
      <c r="B12" s="76">
        <v>295.8</v>
      </c>
      <c r="C12" s="76">
        <v>0.7</v>
      </c>
      <c r="D12" s="76">
        <v>1992.3</v>
      </c>
      <c r="E12" s="78"/>
      <c r="F12" s="71"/>
      <c r="G12" s="71"/>
    </row>
    <row r="13" spans="1:7">
      <c r="A13" s="18">
        <v>1966</v>
      </c>
      <c r="B13" s="76">
        <v>323.5</v>
      </c>
      <c r="C13" s="76">
        <v>82.2</v>
      </c>
      <c r="D13" s="76">
        <v>2977.2</v>
      </c>
      <c r="E13" s="78"/>
      <c r="F13" s="71"/>
      <c r="G13" s="71"/>
    </row>
    <row r="14" spans="1:7">
      <c r="A14" s="18">
        <v>1967</v>
      </c>
      <c r="B14" s="76">
        <v>325.39999999999998</v>
      </c>
      <c r="C14" s="76">
        <v>6.1</v>
      </c>
      <c r="D14" s="76">
        <v>502.5</v>
      </c>
      <c r="E14" s="78"/>
      <c r="F14" s="71"/>
      <c r="G14" s="71"/>
    </row>
    <row r="15" spans="1:7">
      <c r="A15" s="18">
        <v>1968</v>
      </c>
      <c r="B15" s="76">
        <v>399.2</v>
      </c>
      <c r="C15" s="76">
        <v>22.9</v>
      </c>
      <c r="D15" s="76">
        <v>631.29999999999995</v>
      </c>
      <c r="E15" s="78"/>
      <c r="F15" s="71"/>
      <c r="G15" s="71"/>
    </row>
    <row r="16" spans="1:7">
      <c r="A16" s="18">
        <v>1969</v>
      </c>
      <c r="B16" s="76">
        <v>576.6</v>
      </c>
      <c r="C16" s="76">
        <v>104.9</v>
      </c>
      <c r="D16" s="76">
        <v>1520.5</v>
      </c>
      <c r="E16" s="78"/>
      <c r="F16" s="71"/>
      <c r="G16" s="71"/>
    </row>
    <row r="17" spans="1:7">
      <c r="A17" s="18">
        <v>1970</v>
      </c>
      <c r="B17" s="76">
        <v>722.7</v>
      </c>
      <c r="C17" s="76">
        <v>26</v>
      </c>
      <c r="D17" s="76">
        <v>2529.4</v>
      </c>
      <c r="E17" s="78"/>
      <c r="F17" s="71"/>
      <c r="G17" s="71"/>
    </row>
    <row r="18" spans="1:7">
      <c r="A18" s="18">
        <v>1971</v>
      </c>
      <c r="B18" s="76">
        <v>672</v>
      </c>
      <c r="C18" s="76">
        <v>0.2</v>
      </c>
      <c r="D18" s="76">
        <v>1079.8</v>
      </c>
      <c r="E18" s="78"/>
      <c r="F18" s="71"/>
      <c r="G18" s="71"/>
    </row>
    <row r="19" spans="1:7">
      <c r="A19" s="18">
        <v>1972</v>
      </c>
      <c r="B19" s="76">
        <v>768.7</v>
      </c>
      <c r="C19" s="76">
        <v>17.5</v>
      </c>
      <c r="D19" s="76">
        <v>1217.4000000000001</v>
      </c>
      <c r="E19" s="78"/>
      <c r="F19" s="71"/>
      <c r="G19" s="71"/>
    </row>
    <row r="20" spans="1:7">
      <c r="A20" s="18">
        <v>1973</v>
      </c>
      <c r="B20" s="76">
        <v>892.6</v>
      </c>
      <c r="C20" s="76">
        <v>152.19999999999999</v>
      </c>
      <c r="D20" s="76">
        <v>2167.4</v>
      </c>
      <c r="E20" s="78"/>
      <c r="F20" s="71"/>
      <c r="G20" s="71"/>
    </row>
    <row r="21" spans="1:7">
      <c r="A21" s="18">
        <v>1974</v>
      </c>
      <c r="B21" s="76">
        <v>854.6</v>
      </c>
      <c r="C21" s="76">
        <v>14</v>
      </c>
      <c r="D21" s="76">
        <v>1038</v>
      </c>
      <c r="E21" s="78"/>
      <c r="F21" s="71"/>
      <c r="G21" s="71"/>
    </row>
    <row r="22" spans="1:7">
      <c r="A22" s="18">
        <v>1975</v>
      </c>
      <c r="B22" s="76">
        <v>1061.3</v>
      </c>
      <c r="C22" s="76">
        <v>62.6</v>
      </c>
      <c r="D22" s="76">
        <v>1073.3</v>
      </c>
      <c r="E22" s="78"/>
      <c r="F22" s="71"/>
      <c r="G22" s="71"/>
    </row>
    <row r="23" spans="1:7">
      <c r="A23" s="18">
        <v>1976</v>
      </c>
      <c r="B23" s="76">
        <v>2373.6999999999998</v>
      </c>
      <c r="C23" s="76">
        <v>81.099999999999994</v>
      </c>
      <c r="D23" s="76">
        <v>708.5</v>
      </c>
      <c r="E23" s="78"/>
      <c r="F23" s="71"/>
      <c r="G23" s="71"/>
    </row>
    <row r="24" spans="1:7">
      <c r="A24" s="18">
        <v>1977</v>
      </c>
      <c r="B24" s="76">
        <v>3196.7</v>
      </c>
      <c r="C24" s="76">
        <v>195.3</v>
      </c>
      <c r="D24" s="76">
        <v>953.3</v>
      </c>
      <c r="E24" s="78"/>
      <c r="F24" s="71"/>
      <c r="G24" s="71"/>
    </row>
    <row r="25" spans="1:7">
      <c r="A25" s="18">
        <v>1978</v>
      </c>
      <c r="B25" s="76">
        <v>3184.2</v>
      </c>
      <c r="C25" s="76">
        <v>98.1</v>
      </c>
      <c r="D25" s="76">
        <v>909.4</v>
      </c>
      <c r="E25" s="78"/>
      <c r="F25" s="71"/>
      <c r="G25" s="71"/>
    </row>
    <row r="26" spans="1:7">
      <c r="A26" s="18">
        <v>1979</v>
      </c>
      <c r="B26" s="76">
        <v>3461.4</v>
      </c>
      <c r="C26" s="76">
        <v>146.5</v>
      </c>
      <c r="D26" s="76">
        <v>2320.4</v>
      </c>
      <c r="E26" s="78"/>
      <c r="F26" s="71"/>
      <c r="G26" s="71"/>
    </row>
    <row r="27" spans="1:7">
      <c r="A27" s="18">
        <v>1980</v>
      </c>
      <c r="B27" s="76">
        <v>3351.6</v>
      </c>
      <c r="C27" s="76">
        <v>58.6</v>
      </c>
      <c r="D27" s="76">
        <v>4182.1000000000004</v>
      </c>
      <c r="E27" s="78"/>
      <c r="F27" s="71"/>
      <c r="G27" s="71"/>
    </row>
    <row r="28" spans="1:7">
      <c r="A28" s="18">
        <v>1981</v>
      </c>
      <c r="B28" s="76">
        <v>3337.9</v>
      </c>
      <c r="C28" s="76">
        <v>38.5</v>
      </c>
      <c r="D28" s="76">
        <v>2069.4</v>
      </c>
      <c r="E28" s="78"/>
      <c r="F28" s="71"/>
      <c r="G28" s="71"/>
    </row>
    <row r="29" spans="1:7">
      <c r="A29" s="18">
        <v>1982</v>
      </c>
      <c r="B29" s="76">
        <v>2595.8000000000002</v>
      </c>
      <c r="C29" s="76">
        <v>30.6</v>
      </c>
      <c r="D29" s="76">
        <v>337</v>
      </c>
      <c r="E29" s="78"/>
      <c r="F29" s="71"/>
      <c r="G29" s="71"/>
    </row>
    <row r="30" spans="1:7">
      <c r="A30" s="18">
        <v>1983</v>
      </c>
      <c r="B30" s="76">
        <v>2356</v>
      </c>
      <c r="C30" s="76">
        <v>31</v>
      </c>
      <c r="D30" s="76">
        <v>335</v>
      </c>
      <c r="E30" s="78"/>
      <c r="F30" s="71"/>
      <c r="G30" s="71"/>
    </row>
    <row r="31" spans="1:7">
      <c r="A31" s="18">
        <v>1984</v>
      </c>
      <c r="B31" s="76">
        <v>5113</v>
      </c>
      <c r="C31" s="76">
        <v>78</v>
      </c>
      <c r="D31" s="76">
        <v>360</v>
      </c>
      <c r="E31" s="78"/>
      <c r="F31" s="71"/>
      <c r="G31" s="71"/>
    </row>
    <row r="32" spans="1:7">
      <c r="A32" s="18">
        <v>1985</v>
      </c>
      <c r="B32" s="76">
        <v>5480</v>
      </c>
      <c r="C32" s="76">
        <v>38</v>
      </c>
      <c r="D32" s="76">
        <v>468</v>
      </c>
      <c r="E32" s="78"/>
      <c r="F32" s="71"/>
      <c r="G32" s="71"/>
    </row>
    <row r="33" spans="1:16">
      <c r="A33" s="18">
        <v>1986</v>
      </c>
      <c r="B33" s="76">
        <v>7438</v>
      </c>
      <c r="C33" s="76">
        <v>25</v>
      </c>
      <c r="D33" s="76">
        <v>407</v>
      </c>
      <c r="E33" s="78"/>
      <c r="F33" s="71"/>
      <c r="G33" s="71"/>
    </row>
    <row r="34" spans="1:16">
      <c r="A34" s="18">
        <v>1987</v>
      </c>
      <c r="B34" s="76">
        <v>7530</v>
      </c>
      <c r="C34" s="76">
        <v>44</v>
      </c>
      <c r="D34" s="76">
        <v>478</v>
      </c>
      <c r="E34" s="78"/>
      <c r="F34" s="71"/>
      <c r="G34" s="71"/>
    </row>
    <row r="35" spans="1:16">
      <c r="A35" s="18">
        <v>1988</v>
      </c>
      <c r="B35" s="76">
        <v>10410</v>
      </c>
      <c r="C35" s="76">
        <v>63</v>
      </c>
      <c r="D35" s="76">
        <v>286</v>
      </c>
      <c r="E35" s="78"/>
      <c r="F35" s="71"/>
      <c r="G35" s="71"/>
    </row>
    <row r="36" spans="1:16">
      <c r="A36" s="18">
        <v>1989</v>
      </c>
      <c r="B36" s="76">
        <v>10208</v>
      </c>
      <c r="C36" s="76">
        <v>60</v>
      </c>
      <c r="D36" s="76">
        <v>336</v>
      </c>
      <c r="E36" s="76"/>
      <c r="F36" s="79"/>
      <c r="G36" s="79"/>
    </row>
    <row r="37" spans="1:16">
      <c r="A37" s="18">
        <v>1990</v>
      </c>
      <c r="B37" s="76">
        <v>9572.5519999999997</v>
      </c>
      <c r="C37" s="76">
        <v>66.616</v>
      </c>
      <c r="D37" s="76">
        <v>587.86900000000003</v>
      </c>
      <c r="E37" s="76"/>
      <c r="F37" s="79"/>
      <c r="G37" s="79"/>
      <c r="N37" s="80"/>
      <c r="O37" s="80"/>
      <c r="P37" s="80"/>
    </row>
    <row r="38" spans="1:16">
      <c r="A38" s="81">
        <v>1991</v>
      </c>
      <c r="B38" s="76">
        <v>10460.288</v>
      </c>
      <c r="C38" s="76">
        <v>46.091999999999999</v>
      </c>
      <c r="D38" s="76">
        <v>427.33499999999998</v>
      </c>
      <c r="E38" s="76"/>
      <c r="F38" s="79"/>
      <c r="G38" s="79"/>
      <c r="N38" s="80"/>
      <c r="O38" s="80"/>
      <c r="P38" s="80"/>
    </row>
    <row r="39" spans="1:16">
      <c r="A39" s="18">
        <v>1992</v>
      </c>
      <c r="B39" s="76">
        <v>11027.734</v>
      </c>
      <c r="C39" s="76">
        <v>37.706000000000003</v>
      </c>
      <c r="D39" s="76">
        <v>369.911</v>
      </c>
      <c r="E39" s="76"/>
      <c r="F39" s="79"/>
      <c r="G39" s="79"/>
      <c r="N39" s="80"/>
      <c r="O39" s="80"/>
      <c r="P39" s="80"/>
    </row>
    <row r="40" spans="1:16">
      <c r="A40" s="18">
        <v>1993</v>
      </c>
      <c r="B40" s="76">
        <v>9121.1939999999995</v>
      </c>
      <c r="C40" s="76">
        <v>50.515999999999998</v>
      </c>
      <c r="D40" s="76">
        <v>419.584</v>
      </c>
      <c r="E40" s="76"/>
      <c r="F40" s="79"/>
      <c r="G40" s="79"/>
      <c r="N40" s="80"/>
      <c r="O40" s="80"/>
      <c r="P40" s="80"/>
    </row>
    <row r="41" spans="1:16">
      <c r="A41" s="18">
        <v>1994</v>
      </c>
      <c r="B41" s="76">
        <v>10780.514999999999</v>
      </c>
      <c r="C41" s="76">
        <v>45.783999999999999</v>
      </c>
      <c r="D41" s="76">
        <v>765.29499999999996</v>
      </c>
      <c r="E41" s="76"/>
      <c r="F41" s="79"/>
      <c r="G41" s="79"/>
      <c r="N41" s="80"/>
      <c r="O41" s="80"/>
      <c r="P41" s="80"/>
    </row>
    <row r="42" spans="1:16">
      <c r="A42" s="18">
        <v>1995</v>
      </c>
      <c r="B42" s="76">
        <v>9640.7549999999992</v>
      </c>
      <c r="C42" s="76">
        <v>474.34899999999999</v>
      </c>
      <c r="D42" s="76">
        <v>626.28399999999999</v>
      </c>
      <c r="E42" s="76"/>
      <c r="F42" s="79"/>
      <c r="G42" s="79"/>
      <c r="N42" s="80"/>
      <c r="O42" s="80"/>
      <c r="P42" s="80"/>
    </row>
    <row r="43" spans="1:16">
      <c r="A43" s="18">
        <v>1996</v>
      </c>
      <c r="B43" s="76">
        <v>8074.8509999999997</v>
      </c>
      <c r="C43" s="76">
        <v>662.75199999999995</v>
      </c>
      <c r="D43" s="76">
        <v>707.35199999999998</v>
      </c>
      <c r="E43" s="76"/>
      <c r="F43" s="79"/>
      <c r="G43" s="79"/>
      <c r="N43" s="80"/>
      <c r="O43" s="80"/>
      <c r="P43" s="80"/>
    </row>
    <row r="44" spans="1:16">
      <c r="A44" s="18">
        <v>1997</v>
      </c>
      <c r="B44" s="76">
        <v>9464.6849999999995</v>
      </c>
      <c r="C44" s="76">
        <v>664.07299999999998</v>
      </c>
      <c r="D44" s="76">
        <v>673.04</v>
      </c>
      <c r="E44" s="76"/>
      <c r="F44" s="79"/>
      <c r="G44" s="79"/>
      <c r="N44" s="80"/>
      <c r="O44" s="80"/>
      <c r="P44" s="80"/>
    </row>
    <row r="45" spans="1:16">
      <c r="A45" s="18">
        <v>1998</v>
      </c>
      <c r="B45" s="76">
        <v>10896.465</v>
      </c>
      <c r="C45" s="76">
        <v>1072.4000000000001</v>
      </c>
      <c r="D45" s="76">
        <v>734.47799999999995</v>
      </c>
      <c r="E45" s="76"/>
      <c r="F45" s="79"/>
      <c r="G45" s="79"/>
      <c r="N45" s="80"/>
      <c r="O45" s="80"/>
      <c r="P45" s="80"/>
    </row>
    <row r="46" spans="1:16">
      <c r="A46" s="82">
        <v>1999</v>
      </c>
      <c r="B46" s="76">
        <v>10902.921</v>
      </c>
      <c r="C46" s="76">
        <v>1143.567</v>
      </c>
      <c r="D46" s="76">
        <v>520.46</v>
      </c>
      <c r="E46" s="76"/>
      <c r="F46" s="79"/>
      <c r="G46" s="79"/>
      <c r="N46" s="80"/>
      <c r="O46" s="80"/>
      <c r="P46" s="80"/>
    </row>
    <row r="47" spans="1:16">
      <c r="A47" s="18">
        <v>2000</v>
      </c>
      <c r="B47" s="76">
        <v>10385.396000000001</v>
      </c>
      <c r="C47" s="76">
        <v>1167.279</v>
      </c>
      <c r="D47" s="76">
        <v>409.23399999999998</v>
      </c>
      <c r="E47" s="76"/>
      <c r="F47" s="79"/>
      <c r="G47" s="79"/>
      <c r="N47" s="80"/>
      <c r="O47" s="80"/>
      <c r="P47" s="80"/>
    </row>
    <row r="48" spans="1:16">
      <c r="A48" s="82">
        <v>2001</v>
      </c>
      <c r="B48" s="76">
        <v>10838.145</v>
      </c>
      <c r="C48" s="76">
        <v>1080.865</v>
      </c>
      <c r="D48" s="76">
        <v>297.25</v>
      </c>
      <c r="E48" s="76"/>
      <c r="F48" s="79"/>
      <c r="G48" s="79"/>
      <c r="N48" s="80"/>
      <c r="O48" s="80"/>
      <c r="P48" s="80"/>
    </row>
    <row r="49" spans="1:16">
      <c r="A49" s="18">
        <v>2002</v>
      </c>
      <c r="B49" s="76">
        <v>9746.4110000000001</v>
      </c>
      <c r="C49" s="76">
        <v>1057.9870000000001</v>
      </c>
      <c r="D49" s="76">
        <v>244.602</v>
      </c>
      <c r="E49" s="76"/>
      <c r="F49" s="79"/>
      <c r="G49" s="79"/>
      <c r="N49" s="80"/>
      <c r="O49" s="80"/>
      <c r="P49" s="80"/>
    </row>
    <row r="50" spans="1:16">
      <c r="A50" s="18">
        <v>2003</v>
      </c>
      <c r="B50" s="76">
        <v>11031.665000000001</v>
      </c>
      <c r="C50" s="76">
        <v>981.13199999999995</v>
      </c>
      <c r="D50" s="76">
        <v>333.892</v>
      </c>
      <c r="E50" s="76"/>
      <c r="F50" s="79"/>
      <c r="G50" s="79"/>
      <c r="N50" s="80"/>
      <c r="O50" s="80"/>
      <c r="P50" s="80"/>
    </row>
    <row r="51" spans="1:16">
      <c r="A51" s="209" t="s">
        <v>335</v>
      </c>
      <c r="B51" s="76">
        <v>11321.883</v>
      </c>
      <c r="C51" s="76">
        <v>752.11221</v>
      </c>
      <c r="D51" s="76">
        <v>260.67720000000003</v>
      </c>
      <c r="E51" s="76"/>
      <c r="F51" s="79"/>
      <c r="G51" s="79"/>
      <c r="N51" s="80"/>
      <c r="O51" s="80"/>
      <c r="P51" s="80"/>
    </row>
    <row r="52" spans="1:16">
      <c r="A52" s="209" t="s">
        <v>336</v>
      </c>
      <c r="B52" s="76">
        <v>11587.5</v>
      </c>
      <c r="C52" s="76">
        <v>708.04258000000004</v>
      </c>
      <c r="D52" s="76">
        <v>275.96719000000002</v>
      </c>
      <c r="E52" s="76"/>
      <c r="F52" s="79"/>
      <c r="G52" s="79"/>
      <c r="N52" s="80"/>
      <c r="O52" s="80"/>
      <c r="P52" s="80"/>
    </row>
    <row r="53" spans="1:16">
      <c r="A53" s="209" t="s">
        <v>337</v>
      </c>
      <c r="B53" s="76">
        <v>11302.084000000001</v>
      </c>
      <c r="C53" s="76">
        <v>727.01068999999995</v>
      </c>
      <c r="D53" s="76">
        <v>622.68889000000001</v>
      </c>
      <c r="E53" s="76"/>
      <c r="F53" s="79"/>
      <c r="G53" s="79"/>
      <c r="N53" s="80"/>
      <c r="O53" s="80"/>
      <c r="P53" s="80"/>
    </row>
    <row r="54" spans="1:16">
      <c r="A54" s="82" t="s">
        <v>40</v>
      </c>
      <c r="B54" s="76">
        <v>11928.924999999999</v>
      </c>
      <c r="C54" s="76">
        <v>824.077</v>
      </c>
      <c r="D54" s="76">
        <v>1044.933</v>
      </c>
      <c r="E54" s="76"/>
      <c r="F54" s="79"/>
      <c r="G54" s="79"/>
      <c r="N54" s="80"/>
      <c r="O54" s="80"/>
      <c r="P54" s="80"/>
    </row>
    <row r="55" spans="1:16">
      <c r="A55" s="82" t="s">
        <v>41</v>
      </c>
      <c r="B55" s="76">
        <v>12011.566999999999</v>
      </c>
      <c r="C55" s="76">
        <v>809.17200000000003</v>
      </c>
      <c r="D55" s="76">
        <v>573.07500000000005</v>
      </c>
      <c r="E55" s="76"/>
      <c r="F55" s="79"/>
      <c r="G55" s="79"/>
    </row>
    <row r="56" spans="1:16">
      <c r="A56" s="82" t="s">
        <v>42</v>
      </c>
      <c r="B56" s="76">
        <v>10151.222</v>
      </c>
      <c r="C56" s="76">
        <v>927.61900000000003</v>
      </c>
      <c r="D56" s="76">
        <v>771.58500000000004</v>
      </c>
      <c r="E56" s="76"/>
      <c r="F56" s="79"/>
      <c r="G56" s="79"/>
    </row>
    <row r="57" spans="1:16">
      <c r="A57" s="82" t="s">
        <v>43</v>
      </c>
      <c r="B57" s="76">
        <v>12005.206</v>
      </c>
      <c r="C57" s="76">
        <v>777.87599999999998</v>
      </c>
      <c r="D57" s="76">
        <v>726.80100000000004</v>
      </c>
      <c r="E57" s="76"/>
      <c r="F57" s="79"/>
      <c r="G57" s="79"/>
    </row>
    <row r="58" spans="1:16" ht="14.25" customHeight="1">
      <c r="A58" s="93" t="s">
        <v>338</v>
      </c>
      <c r="B58" s="83">
        <v>9772</v>
      </c>
      <c r="C58" s="76">
        <v>878</v>
      </c>
      <c r="D58" s="76">
        <v>4681</v>
      </c>
      <c r="E58" s="76"/>
      <c r="F58" s="79"/>
      <c r="G58" s="79"/>
    </row>
    <row r="59" spans="1:16" ht="14.25" customHeight="1">
      <c r="A59" s="93">
        <v>2012</v>
      </c>
      <c r="B59" s="113">
        <v>9064</v>
      </c>
      <c r="C59" s="76">
        <v>890</v>
      </c>
      <c r="D59" s="76">
        <v>5370</v>
      </c>
      <c r="E59" s="76"/>
      <c r="F59" s="79"/>
      <c r="G59" s="79"/>
    </row>
    <row r="60" spans="1:16" ht="14.25" customHeight="1">
      <c r="A60" s="209">
        <v>2013</v>
      </c>
      <c r="B60" s="76">
        <v>9570</v>
      </c>
      <c r="C60" s="76">
        <v>892</v>
      </c>
      <c r="D60" s="76">
        <v>7273</v>
      </c>
      <c r="E60" s="76"/>
      <c r="F60" s="79"/>
      <c r="G60" s="79"/>
    </row>
    <row r="61" spans="1:16" ht="14.25" customHeight="1">
      <c r="A61" s="93">
        <v>2014</v>
      </c>
      <c r="B61" s="113">
        <v>10187</v>
      </c>
      <c r="C61" s="76">
        <v>821</v>
      </c>
      <c r="D61" s="76">
        <v>5936</v>
      </c>
      <c r="E61" s="76"/>
      <c r="F61" s="79"/>
      <c r="G61" s="79"/>
    </row>
    <row r="62" spans="1:16" ht="14.25" customHeight="1">
      <c r="A62" s="209">
        <v>2015</v>
      </c>
      <c r="B62" s="76">
        <v>10283</v>
      </c>
      <c r="C62" s="76">
        <v>944</v>
      </c>
      <c r="D62" s="76">
        <v>6558</v>
      </c>
      <c r="E62" s="76"/>
      <c r="F62" s="79"/>
      <c r="G62" s="79"/>
    </row>
    <row r="63" spans="1:16" ht="14.25" customHeight="1">
      <c r="A63" s="209">
        <v>2016</v>
      </c>
      <c r="B63" s="76">
        <v>9331</v>
      </c>
      <c r="C63" s="76">
        <v>839</v>
      </c>
      <c r="D63" s="76">
        <v>5382</v>
      </c>
      <c r="E63" s="76"/>
      <c r="F63" s="79"/>
      <c r="G63" s="79"/>
    </row>
    <row r="64" spans="1:16" ht="14.25" customHeight="1">
      <c r="A64" s="209">
        <v>2017</v>
      </c>
      <c r="B64" s="76">
        <v>8946</v>
      </c>
      <c r="C64" s="76">
        <v>840</v>
      </c>
      <c r="D64" s="76">
        <v>4706</v>
      </c>
      <c r="E64" s="76"/>
      <c r="F64" s="79"/>
      <c r="G64" s="79"/>
    </row>
    <row r="65" spans="1:7" ht="14.25" customHeight="1">
      <c r="A65" s="209">
        <v>2018</v>
      </c>
      <c r="B65" s="76">
        <v>8738</v>
      </c>
      <c r="C65" s="76">
        <v>807</v>
      </c>
      <c r="D65" s="76">
        <v>5153</v>
      </c>
      <c r="E65" s="76"/>
      <c r="F65" s="79"/>
      <c r="G65" s="79"/>
    </row>
    <row r="66" spans="1:7" ht="14.25" customHeight="1">
      <c r="A66" s="209">
        <v>2019</v>
      </c>
      <c r="B66" s="76">
        <v>9280</v>
      </c>
      <c r="C66" s="76">
        <v>847</v>
      </c>
      <c r="D66" s="76">
        <v>5510</v>
      </c>
      <c r="E66" s="76"/>
      <c r="F66" s="79"/>
      <c r="G66" s="79"/>
    </row>
    <row r="67" spans="1:7" ht="14.25" customHeight="1">
      <c r="A67" s="209" t="s">
        <v>386</v>
      </c>
      <c r="B67" s="76">
        <v>5630</v>
      </c>
      <c r="C67" s="76">
        <v>847</v>
      </c>
      <c r="D67" s="76">
        <v>3445</v>
      </c>
      <c r="E67" s="76"/>
      <c r="F67" s="79"/>
      <c r="G67" s="79"/>
    </row>
    <row r="68" spans="1:7" ht="14.25" customHeight="1">
      <c r="A68" s="93">
        <v>2021</v>
      </c>
      <c r="B68" s="414">
        <v>6913</v>
      </c>
      <c r="C68" s="76">
        <v>856</v>
      </c>
      <c r="D68" s="76">
        <v>5744</v>
      </c>
      <c r="E68" s="76"/>
      <c r="F68" s="79"/>
      <c r="G68" s="79"/>
    </row>
    <row r="69" spans="1:7" ht="14.25" customHeight="1">
      <c r="A69" s="93">
        <v>2022</v>
      </c>
      <c r="B69" s="414">
        <v>7399</v>
      </c>
      <c r="C69" s="76">
        <v>858</v>
      </c>
      <c r="D69" s="76">
        <v>7746</v>
      </c>
      <c r="E69" s="76"/>
      <c r="F69" s="79"/>
      <c r="G69" s="79"/>
    </row>
    <row r="70" spans="1:7" ht="14.25" customHeight="1">
      <c r="A70" s="93">
        <v>2023</v>
      </c>
      <c r="B70" s="76">
        <v>7371</v>
      </c>
      <c r="C70" s="76">
        <v>910</v>
      </c>
      <c r="D70" s="76">
        <v>10315</v>
      </c>
      <c r="E70" s="76"/>
      <c r="F70" s="79"/>
      <c r="G70" s="79"/>
    </row>
    <row r="71" spans="1:7" ht="12" customHeight="1">
      <c r="A71" s="27" t="s">
        <v>403</v>
      </c>
      <c r="B71" s="86"/>
      <c r="C71" s="87"/>
      <c r="D71" s="87"/>
      <c r="E71" s="88"/>
      <c r="F71" s="88"/>
      <c r="G71" s="88"/>
    </row>
    <row r="72" spans="1:7" ht="4.5" customHeight="1">
      <c r="A72" s="84"/>
      <c r="B72" s="85"/>
      <c r="C72" s="85"/>
      <c r="D72" s="85"/>
      <c r="E72" s="32"/>
      <c r="F72" s="32"/>
      <c r="G72" s="32"/>
    </row>
    <row r="73" spans="1:7" ht="25.5" customHeight="1">
      <c r="A73" s="514" t="s">
        <v>44</v>
      </c>
      <c r="B73" s="514"/>
      <c r="C73" s="514"/>
      <c r="D73" s="514"/>
      <c r="E73" s="514"/>
      <c r="F73" s="514"/>
      <c r="G73" s="514"/>
    </row>
    <row r="74" spans="1:7" ht="4.5" customHeight="1">
      <c r="A74" s="84"/>
      <c r="B74" s="85"/>
      <c r="C74" s="85"/>
      <c r="D74" s="85"/>
      <c r="E74" s="32"/>
      <c r="F74" s="32"/>
      <c r="G74" s="32"/>
    </row>
    <row r="75" spans="1:7" ht="16.5" customHeight="1">
      <c r="A75" s="507" t="s">
        <v>404</v>
      </c>
      <c r="B75" s="507"/>
      <c r="C75" s="507"/>
      <c r="D75" s="507"/>
      <c r="E75" s="507"/>
      <c r="F75" s="507"/>
      <c r="G75" s="507"/>
    </row>
    <row r="76" spans="1:7" ht="4.5" customHeight="1">
      <c r="A76" s="84"/>
      <c r="B76" s="85"/>
      <c r="C76" s="85"/>
      <c r="D76" s="85"/>
      <c r="E76" s="32"/>
      <c r="F76" s="32"/>
      <c r="G76" s="32"/>
    </row>
    <row r="77" spans="1:7" ht="13.9" customHeight="1">
      <c r="A77" s="515" t="s">
        <v>477</v>
      </c>
      <c r="B77" s="515"/>
      <c r="C77" s="515"/>
      <c r="D77" s="515"/>
      <c r="E77" s="515"/>
      <c r="F77" s="515"/>
      <c r="G77" s="515"/>
    </row>
    <row r="78" spans="1:7" ht="13.9" customHeight="1">
      <c r="A78" s="515"/>
      <c r="B78" s="515"/>
      <c r="C78" s="515"/>
      <c r="D78" s="515"/>
      <c r="E78" s="515"/>
      <c r="F78" s="515"/>
      <c r="G78" s="515"/>
    </row>
    <row r="79" spans="1:7" ht="4.5" customHeight="1">
      <c r="A79" s="84"/>
      <c r="B79" s="85"/>
      <c r="C79" s="85"/>
      <c r="D79" s="85"/>
      <c r="E79" s="32"/>
      <c r="F79" s="32"/>
      <c r="G79" s="32"/>
    </row>
    <row r="80" spans="1:7" ht="11.25" customHeight="1">
      <c r="A80" s="505" t="s">
        <v>609</v>
      </c>
      <c r="B80" s="505"/>
      <c r="C80" s="505"/>
      <c r="D80" s="505"/>
      <c r="E80" s="505"/>
      <c r="F80" s="505"/>
      <c r="G80" s="505"/>
    </row>
    <row r="81" spans="1:7" ht="39" customHeight="1">
      <c r="A81" s="505"/>
      <c r="B81" s="505"/>
      <c r="C81" s="505"/>
      <c r="D81" s="505"/>
      <c r="E81" s="505"/>
      <c r="F81" s="505"/>
      <c r="G81" s="505"/>
    </row>
    <row r="82" spans="1:7">
      <c r="A82" s="505" t="s">
        <v>422</v>
      </c>
      <c r="B82" s="505"/>
      <c r="C82" s="505"/>
      <c r="D82" s="505"/>
      <c r="E82" s="505"/>
      <c r="F82" s="505"/>
      <c r="G82" s="505"/>
    </row>
    <row r="83" spans="1:7" ht="11.25" customHeight="1">
      <c r="A83" s="89"/>
    </row>
    <row r="84" spans="1:7" ht="48.75" customHeight="1">
      <c r="A84" s="506" t="s">
        <v>608</v>
      </c>
      <c r="B84" s="507"/>
      <c r="C84" s="507"/>
      <c r="D84" s="507"/>
      <c r="E84" s="508"/>
      <c r="F84" s="508"/>
      <c r="G84" s="508"/>
    </row>
  </sheetData>
  <mergeCells count="10">
    <mergeCell ref="A80:G81"/>
    <mergeCell ref="A84:G84"/>
    <mergeCell ref="A1:G1"/>
    <mergeCell ref="B4:B5"/>
    <mergeCell ref="C4:C5"/>
    <mergeCell ref="D4:D5"/>
    <mergeCell ref="A73:G73"/>
    <mergeCell ref="A75:G75"/>
    <mergeCell ref="A77:G78"/>
    <mergeCell ref="A82:G8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8"/>
  <sheetViews>
    <sheetView topLeftCell="A37" zoomScale="75" zoomScaleNormal="75" workbookViewId="0"/>
  </sheetViews>
  <sheetFormatPr defaultRowHeight="15"/>
  <cols>
    <col min="5" max="5" width="10.7109375" customWidth="1"/>
    <col min="7" max="7" width="11.140625" customWidth="1"/>
    <col min="11" max="11" width="9" customWidth="1"/>
    <col min="12" max="12" width="10.140625" bestFit="1" customWidth="1"/>
    <col min="20" max="20" width="12.140625" customWidth="1"/>
    <col min="21" max="21" width="10.42578125" customWidth="1"/>
    <col min="22" max="22" width="11.85546875" customWidth="1"/>
  </cols>
  <sheetData>
    <row r="1" spans="1:19" ht="21">
      <c r="A1" s="5" t="s">
        <v>462</v>
      </c>
      <c r="B1" s="6"/>
      <c r="C1" s="6"/>
      <c r="D1" s="6"/>
      <c r="E1" s="6"/>
      <c r="F1" s="6"/>
      <c r="G1" s="6"/>
      <c r="H1" s="6"/>
      <c r="I1" s="6"/>
      <c r="J1" s="6"/>
      <c r="K1" s="6"/>
      <c r="L1" s="6"/>
      <c r="M1" s="6"/>
      <c r="N1" s="6"/>
      <c r="O1" s="6"/>
      <c r="P1" s="6"/>
      <c r="Q1" s="6"/>
    </row>
    <row r="2" spans="1:19">
      <c r="A2" s="8"/>
      <c r="B2" s="8"/>
      <c r="C2" s="8"/>
      <c r="D2" s="8"/>
      <c r="E2" s="8"/>
      <c r="F2" s="8"/>
      <c r="G2" s="8"/>
      <c r="H2" s="8"/>
      <c r="I2" s="8"/>
      <c r="J2" s="8"/>
      <c r="K2" s="252"/>
      <c r="L2" s="252"/>
      <c r="M2" s="252"/>
      <c r="N2" s="252"/>
      <c r="O2" s="252"/>
      <c r="P2" s="252"/>
      <c r="Q2" s="252"/>
    </row>
    <row r="3" spans="1:19">
      <c r="A3" s="72"/>
      <c r="B3" s="522" t="s">
        <v>21</v>
      </c>
      <c r="C3" s="516"/>
      <c r="D3" s="516" t="s">
        <v>22</v>
      </c>
      <c r="E3" s="516"/>
      <c r="F3" s="516" t="s">
        <v>237</v>
      </c>
      <c r="G3" s="516"/>
      <c r="H3" s="516" t="s">
        <v>23</v>
      </c>
      <c r="I3" s="516"/>
      <c r="J3" s="516" t="s">
        <v>274</v>
      </c>
      <c r="K3" s="516"/>
      <c r="L3" s="516" t="s">
        <v>275</v>
      </c>
      <c r="M3" s="516"/>
      <c r="N3" s="516" t="s">
        <v>315</v>
      </c>
      <c r="O3" s="516"/>
      <c r="P3" s="252"/>
      <c r="Q3" s="252"/>
    </row>
    <row r="4" spans="1:19">
      <c r="A4" s="74" t="s">
        <v>24</v>
      </c>
      <c r="B4" s="253" t="s">
        <v>25</v>
      </c>
      <c r="C4" s="254"/>
      <c r="D4" s="253" t="s">
        <v>25</v>
      </c>
      <c r="E4" s="254"/>
      <c r="F4" s="253" t="s">
        <v>25</v>
      </c>
      <c r="G4" s="253"/>
      <c r="H4" s="255" t="s">
        <v>26</v>
      </c>
      <c r="I4" s="256"/>
      <c r="J4" s="255" t="s">
        <v>26</v>
      </c>
      <c r="K4" s="256"/>
      <c r="L4" s="255" t="s">
        <v>26</v>
      </c>
      <c r="M4" s="256"/>
      <c r="N4" s="255" t="s">
        <v>26</v>
      </c>
      <c r="O4" s="256"/>
      <c r="P4" s="257" t="s">
        <v>316</v>
      </c>
      <c r="Q4" s="252"/>
    </row>
    <row r="5" spans="1:19">
      <c r="A5" s="258"/>
      <c r="B5" s="252"/>
      <c r="C5" s="252"/>
      <c r="D5" s="252"/>
      <c r="E5" s="252"/>
      <c r="F5" s="252"/>
      <c r="G5" s="252"/>
      <c r="H5" s="252"/>
      <c r="I5" s="259"/>
      <c r="J5" s="260"/>
      <c r="K5" s="252"/>
      <c r="L5" s="252"/>
      <c r="M5" s="252"/>
      <c r="N5" s="252"/>
      <c r="O5" s="252"/>
      <c r="P5" s="261"/>
      <c r="Q5" s="252"/>
    </row>
    <row r="6" spans="1:19">
      <c r="A6" s="262">
        <v>1960</v>
      </c>
      <c r="B6" s="263">
        <v>5801</v>
      </c>
      <c r="C6" s="303">
        <f t="shared" ref="C6:C37" si="0">B6/P6</f>
        <v>0.9681241655540721</v>
      </c>
      <c r="D6" s="265" t="s">
        <v>13</v>
      </c>
      <c r="E6" s="303">
        <v>0</v>
      </c>
      <c r="F6" s="265">
        <v>0</v>
      </c>
      <c r="G6" s="303">
        <f t="shared" ref="G6:G38" si="1">F6/P6</f>
        <v>0</v>
      </c>
      <c r="H6" s="265" t="s">
        <v>13</v>
      </c>
      <c r="I6" s="304">
        <v>0</v>
      </c>
      <c r="J6" s="263">
        <v>0</v>
      </c>
      <c r="K6" s="304">
        <f t="shared" ref="K6:K37" si="2">J6/P6</f>
        <v>0</v>
      </c>
      <c r="L6" s="265">
        <v>0</v>
      </c>
      <c r="M6" s="304">
        <v>0</v>
      </c>
      <c r="N6" s="265" t="s">
        <v>13</v>
      </c>
      <c r="O6" s="304" t="s">
        <v>13</v>
      </c>
      <c r="P6" s="266">
        <v>5992</v>
      </c>
      <c r="Q6" s="223"/>
      <c r="R6" s="263"/>
      <c r="S6" s="171"/>
    </row>
    <row r="7" spans="1:19">
      <c r="A7" s="262">
        <v>1961</v>
      </c>
      <c r="B7" s="263">
        <v>6499</v>
      </c>
      <c r="C7" s="303">
        <f t="shared" si="0"/>
        <v>0.95855457227138641</v>
      </c>
      <c r="D7" s="264">
        <v>263</v>
      </c>
      <c r="E7" s="303">
        <f t="shared" ref="E7:E38" si="3">D7/P7</f>
        <v>3.8790560471976404E-2</v>
      </c>
      <c r="F7" s="264">
        <v>0</v>
      </c>
      <c r="G7" s="303">
        <f t="shared" si="1"/>
        <v>0</v>
      </c>
      <c r="H7" s="264">
        <v>19</v>
      </c>
      <c r="I7" s="304">
        <f t="shared" ref="I7:I38" si="4">H7/P7</f>
        <v>2.8023598820058997E-3</v>
      </c>
      <c r="J7" s="263">
        <v>0</v>
      </c>
      <c r="K7" s="304">
        <f t="shared" si="2"/>
        <v>0</v>
      </c>
      <c r="L7" s="263">
        <v>0</v>
      </c>
      <c r="M7" s="304">
        <v>0</v>
      </c>
      <c r="N7" s="265" t="s">
        <v>13</v>
      </c>
      <c r="O7" s="304" t="s">
        <v>13</v>
      </c>
      <c r="P7" s="266">
        <v>6780</v>
      </c>
      <c r="Q7" s="223"/>
      <c r="R7" s="264"/>
      <c r="S7" s="171"/>
    </row>
    <row r="8" spans="1:19">
      <c r="A8" s="262">
        <v>1962</v>
      </c>
      <c r="B8" s="263">
        <v>6410</v>
      </c>
      <c r="C8" s="303">
        <f t="shared" si="0"/>
        <v>0.90909090909090906</v>
      </c>
      <c r="D8" s="264">
        <v>291</v>
      </c>
      <c r="E8" s="303">
        <f t="shared" si="3"/>
        <v>4.1270741738760462E-2</v>
      </c>
      <c r="F8" s="264">
        <v>1</v>
      </c>
      <c r="G8" s="303">
        <f t="shared" si="1"/>
        <v>1.4182385477237272E-4</v>
      </c>
      <c r="H8" s="264">
        <v>349</v>
      </c>
      <c r="I8" s="304">
        <f t="shared" si="4"/>
        <v>4.9496525315558079E-2</v>
      </c>
      <c r="J8" s="263">
        <v>0</v>
      </c>
      <c r="K8" s="304">
        <f t="shared" si="2"/>
        <v>0</v>
      </c>
      <c r="L8" s="263">
        <v>0</v>
      </c>
      <c r="M8" s="304">
        <v>0</v>
      </c>
      <c r="N8" s="265" t="s">
        <v>13</v>
      </c>
      <c r="O8" s="304" t="s">
        <v>13</v>
      </c>
      <c r="P8" s="266">
        <v>7051</v>
      </c>
      <c r="Q8" s="223"/>
      <c r="R8" s="264"/>
      <c r="S8" s="171"/>
    </row>
    <row r="9" spans="1:19">
      <c r="A9" s="262">
        <v>1963</v>
      </c>
      <c r="B9" s="263">
        <v>6011</v>
      </c>
      <c r="C9" s="303">
        <f t="shared" si="0"/>
        <v>0.91158629056718232</v>
      </c>
      <c r="D9" s="264">
        <v>284</v>
      </c>
      <c r="E9" s="303">
        <f t="shared" si="3"/>
        <v>4.3069457082195936E-2</v>
      </c>
      <c r="F9" s="264">
        <v>0</v>
      </c>
      <c r="G9" s="303">
        <f t="shared" si="1"/>
        <v>0</v>
      </c>
      <c r="H9" s="264">
        <v>299</v>
      </c>
      <c r="I9" s="304">
        <f t="shared" si="4"/>
        <v>4.5344252350621776E-2</v>
      </c>
      <c r="J9" s="263">
        <v>0</v>
      </c>
      <c r="K9" s="304">
        <f t="shared" si="2"/>
        <v>0</v>
      </c>
      <c r="L9" s="263">
        <v>0</v>
      </c>
      <c r="M9" s="304">
        <v>0</v>
      </c>
      <c r="N9" s="265" t="s">
        <v>13</v>
      </c>
      <c r="O9" s="304" t="s">
        <v>13</v>
      </c>
      <c r="P9" s="266">
        <v>6594</v>
      </c>
      <c r="Q9" s="223"/>
      <c r="R9" s="264"/>
      <c r="S9" s="171"/>
    </row>
    <row r="10" spans="1:19">
      <c r="A10" s="262">
        <v>1964</v>
      </c>
      <c r="B10" s="263">
        <v>6821</v>
      </c>
      <c r="C10" s="303">
        <f t="shared" si="0"/>
        <v>0.93068631464046936</v>
      </c>
      <c r="D10" s="264">
        <v>286</v>
      </c>
      <c r="E10" s="303">
        <f t="shared" si="3"/>
        <v>3.9023059080365671E-2</v>
      </c>
      <c r="F10" s="264">
        <v>2</v>
      </c>
      <c r="G10" s="303">
        <f t="shared" si="1"/>
        <v>2.7288852503752219E-4</v>
      </c>
      <c r="H10" s="267">
        <v>220</v>
      </c>
      <c r="I10" s="304">
        <f t="shared" si="4"/>
        <v>3.001773775412744E-2</v>
      </c>
      <c r="J10" s="263">
        <v>0</v>
      </c>
      <c r="K10" s="304">
        <f t="shared" si="2"/>
        <v>0</v>
      </c>
      <c r="L10" s="263">
        <v>0</v>
      </c>
      <c r="M10" s="304">
        <v>0</v>
      </c>
      <c r="N10" s="265" t="s">
        <v>13</v>
      </c>
      <c r="O10" s="304" t="s">
        <v>13</v>
      </c>
      <c r="P10" s="266">
        <v>7329</v>
      </c>
      <c r="Q10" s="223"/>
      <c r="R10" s="264"/>
      <c r="S10" s="171"/>
    </row>
    <row r="11" spans="1:19">
      <c r="A11" s="262">
        <v>1965</v>
      </c>
      <c r="B11" s="263">
        <v>8389</v>
      </c>
      <c r="C11" s="303">
        <f t="shared" si="0"/>
        <v>0.94844544940644437</v>
      </c>
      <c r="D11" s="264">
        <v>285</v>
      </c>
      <c r="E11" s="303">
        <f t="shared" si="3"/>
        <v>3.2221594120972301E-2</v>
      </c>
      <c r="F11" s="264">
        <v>0</v>
      </c>
      <c r="G11" s="303">
        <f t="shared" si="1"/>
        <v>0</v>
      </c>
      <c r="H11" s="264">
        <v>171</v>
      </c>
      <c r="I11" s="304">
        <f t="shared" si="4"/>
        <v>1.9332956472583381E-2</v>
      </c>
      <c r="J11" s="263">
        <v>0</v>
      </c>
      <c r="K11" s="304">
        <f t="shared" si="2"/>
        <v>0</v>
      </c>
      <c r="L11" s="263">
        <v>0</v>
      </c>
      <c r="M11" s="304">
        <v>0</v>
      </c>
      <c r="N11" s="265" t="s">
        <v>13</v>
      </c>
      <c r="O11" s="304" t="s">
        <v>13</v>
      </c>
      <c r="P11" s="266">
        <v>8845</v>
      </c>
      <c r="Q11" s="223"/>
      <c r="R11" s="264"/>
      <c r="S11" s="171"/>
    </row>
    <row r="12" spans="1:19">
      <c r="A12" s="262">
        <v>1966</v>
      </c>
      <c r="B12" s="263">
        <v>7940</v>
      </c>
      <c r="C12" s="303">
        <f t="shared" si="0"/>
        <v>0.92616353668494111</v>
      </c>
      <c r="D12" s="264">
        <v>317</v>
      </c>
      <c r="E12" s="303">
        <f t="shared" si="3"/>
        <v>3.6976554298378629E-2</v>
      </c>
      <c r="F12" s="264">
        <v>43</v>
      </c>
      <c r="G12" s="303">
        <f t="shared" si="1"/>
        <v>5.0157471130292779E-3</v>
      </c>
      <c r="H12" s="264">
        <v>273</v>
      </c>
      <c r="I12" s="304">
        <f t="shared" si="4"/>
        <v>3.1844161903650997E-2</v>
      </c>
      <c r="J12" s="263">
        <v>0</v>
      </c>
      <c r="K12" s="304">
        <f t="shared" si="2"/>
        <v>0</v>
      </c>
      <c r="L12" s="263">
        <v>0</v>
      </c>
      <c r="M12" s="304">
        <v>0</v>
      </c>
      <c r="N12" s="265" t="s">
        <v>13</v>
      </c>
      <c r="O12" s="304" t="s">
        <v>13</v>
      </c>
      <c r="P12" s="266">
        <v>8573</v>
      </c>
      <c r="Q12" s="223"/>
      <c r="R12" s="264"/>
      <c r="S12" s="171"/>
    </row>
    <row r="13" spans="1:19">
      <c r="A13" s="262">
        <v>1967</v>
      </c>
      <c r="B13" s="263">
        <v>8703</v>
      </c>
      <c r="C13" s="303">
        <f t="shared" si="0"/>
        <v>0.96049001213994045</v>
      </c>
      <c r="D13" s="264">
        <v>314</v>
      </c>
      <c r="E13" s="303">
        <f t="shared" si="3"/>
        <v>3.4654011698488023E-2</v>
      </c>
      <c r="F13" s="264">
        <v>3</v>
      </c>
      <c r="G13" s="303">
        <f t="shared" si="1"/>
        <v>3.3108928374351616E-4</v>
      </c>
      <c r="H13" s="264">
        <v>41</v>
      </c>
      <c r="I13" s="304">
        <f t="shared" si="4"/>
        <v>4.5248868778280547E-3</v>
      </c>
      <c r="J13" s="263">
        <v>0</v>
      </c>
      <c r="K13" s="304">
        <f t="shared" si="2"/>
        <v>0</v>
      </c>
      <c r="L13" s="263">
        <v>0</v>
      </c>
      <c r="M13" s="304">
        <v>0</v>
      </c>
      <c r="N13" s="265" t="s">
        <v>13</v>
      </c>
      <c r="O13" s="304" t="s">
        <v>13</v>
      </c>
      <c r="P13" s="266">
        <v>9061</v>
      </c>
      <c r="Q13" s="223"/>
      <c r="R13" s="264"/>
      <c r="S13" s="171"/>
    </row>
    <row r="14" spans="1:19">
      <c r="A14" s="262">
        <v>1968</v>
      </c>
      <c r="B14" s="263">
        <v>8925</v>
      </c>
      <c r="C14" s="303">
        <f t="shared" si="0"/>
        <v>0.94735166118246472</v>
      </c>
      <c r="D14" s="264">
        <v>434</v>
      </c>
      <c r="E14" s="303">
        <f t="shared" si="3"/>
        <v>4.6067296465343383E-2</v>
      </c>
      <c r="F14" s="264">
        <v>10</v>
      </c>
      <c r="G14" s="303">
        <f t="shared" si="1"/>
        <v>1.0614584439019212E-3</v>
      </c>
      <c r="H14" s="264">
        <v>52</v>
      </c>
      <c r="I14" s="304">
        <f t="shared" si="4"/>
        <v>5.5195839082899907E-3</v>
      </c>
      <c r="J14" s="263">
        <v>0</v>
      </c>
      <c r="K14" s="304">
        <f t="shared" si="2"/>
        <v>0</v>
      </c>
      <c r="L14" s="263">
        <v>0</v>
      </c>
      <c r="M14" s="304">
        <v>0</v>
      </c>
      <c r="N14" s="265" t="s">
        <v>13</v>
      </c>
      <c r="O14" s="304" t="s">
        <v>13</v>
      </c>
      <c r="P14" s="266">
        <v>9421</v>
      </c>
      <c r="Q14" s="223"/>
      <c r="R14" s="264"/>
      <c r="S14" s="171"/>
    </row>
    <row r="15" spans="1:19">
      <c r="A15" s="262">
        <v>1969</v>
      </c>
      <c r="B15" s="263">
        <v>9447</v>
      </c>
      <c r="C15" s="303">
        <f t="shared" si="0"/>
        <v>0.91002793565167128</v>
      </c>
      <c r="D15" s="264">
        <v>735</v>
      </c>
      <c r="E15" s="303">
        <f t="shared" si="3"/>
        <v>7.0802427511800409E-2</v>
      </c>
      <c r="F15" s="264">
        <v>52</v>
      </c>
      <c r="G15" s="303">
        <f t="shared" si="1"/>
        <v>5.0091513341681921E-3</v>
      </c>
      <c r="H15" s="264">
        <v>147</v>
      </c>
      <c r="I15" s="304">
        <f t="shared" si="4"/>
        <v>1.4160485502360081E-2</v>
      </c>
      <c r="J15" s="263">
        <v>0</v>
      </c>
      <c r="K15" s="304">
        <f t="shared" si="2"/>
        <v>0</v>
      </c>
      <c r="L15" s="263">
        <v>0</v>
      </c>
      <c r="M15" s="304">
        <v>0</v>
      </c>
      <c r="N15" s="265" t="s">
        <v>13</v>
      </c>
      <c r="O15" s="304" t="s">
        <v>13</v>
      </c>
      <c r="P15" s="266">
        <v>10381</v>
      </c>
      <c r="Q15" s="223"/>
      <c r="R15" s="264"/>
      <c r="S15" s="171"/>
    </row>
    <row r="16" spans="1:19">
      <c r="A16" s="262">
        <v>1970</v>
      </c>
      <c r="B16" s="263">
        <v>8745</v>
      </c>
      <c r="C16" s="303">
        <f t="shared" si="0"/>
        <v>0.87862955892695671</v>
      </c>
      <c r="D16" s="264">
        <v>966</v>
      </c>
      <c r="E16" s="303">
        <f t="shared" si="3"/>
        <v>9.7056163970662107E-2</v>
      </c>
      <c r="F16" s="264">
        <v>14</v>
      </c>
      <c r="G16" s="303">
        <f t="shared" si="1"/>
        <v>1.4066110720385814E-3</v>
      </c>
      <c r="H16" s="264">
        <v>228</v>
      </c>
      <c r="I16" s="304">
        <f t="shared" si="4"/>
        <v>2.2907666030342611E-2</v>
      </c>
      <c r="J16" s="263">
        <v>0</v>
      </c>
      <c r="K16" s="304">
        <f t="shared" si="2"/>
        <v>0</v>
      </c>
      <c r="L16" s="263">
        <v>0</v>
      </c>
      <c r="M16" s="304">
        <v>0</v>
      </c>
      <c r="N16" s="265" t="s">
        <v>13</v>
      </c>
      <c r="O16" s="304" t="s">
        <v>13</v>
      </c>
      <c r="P16" s="266">
        <v>9953</v>
      </c>
      <c r="Q16" s="223"/>
      <c r="R16" s="264"/>
      <c r="S16" s="171"/>
    </row>
    <row r="17" spans="1:19">
      <c r="A17" s="262">
        <v>1971</v>
      </c>
      <c r="B17" s="263">
        <v>9595</v>
      </c>
      <c r="C17" s="303">
        <f t="shared" si="0"/>
        <v>0.90578684036627966</v>
      </c>
      <c r="D17" s="264">
        <v>901</v>
      </c>
      <c r="E17" s="303">
        <f t="shared" si="3"/>
        <v>8.5056169168318707E-2</v>
      </c>
      <c r="F17" s="264">
        <v>1</v>
      </c>
      <c r="G17" s="303">
        <f t="shared" si="1"/>
        <v>9.440196356084207E-5</v>
      </c>
      <c r="H17" s="264">
        <v>96</v>
      </c>
      <c r="I17" s="304">
        <f t="shared" si="4"/>
        <v>9.0625885018408379E-3</v>
      </c>
      <c r="J17" s="263">
        <v>0</v>
      </c>
      <c r="K17" s="304">
        <f t="shared" si="2"/>
        <v>0</v>
      </c>
      <c r="L17" s="263">
        <v>0</v>
      </c>
      <c r="M17" s="304">
        <v>0</v>
      </c>
      <c r="N17" s="265" t="s">
        <v>13</v>
      </c>
      <c r="O17" s="304" t="s">
        <v>13</v>
      </c>
      <c r="P17" s="266">
        <v>10593</v>
      </c>
      <c r="Q17" s="223"/>
      <c r="R17" s="264"/>
      <c r="S17" s="171"/>
    </row>
    <row r="18" spans="1:19">
      <c r="A18" s="262">
        <v>1972</v>
      </c>
      <c r="B18" s="263">
        <v>9444</v>
      </c>
      <c r="C18" s="303">
        <f t="shared" si="0"/>
        <v>0.88767741329072281</v>
      </c>
      <c r="D18" s="263">
        <v>1079</v>
      </c>
      <c r="E18" s="303">
        <f t="shared" si="3"/>
        <v>0.1014193063257825</v>
      </c>
      <c r="F18" s="264">
        <v>7</v>
      </c>
      <c r="G18" s="303">
        <f t="shared" si="1"/>
        <v>6.5795657486605885E-4</v>
      </c>
      <c r="H18" s="264">
        <v>108</v>
      </c>
      <c r="I18" s="304">
        <f t="shared" si="4"/>
        <v>1.0151330012219193E-2</v>
      </c>
      <c r="J18" s="263">
        <v>0</v>
      </c>
      <c r="K18" s="304">
        <f t="shared" si="2"/>
        <v>0</v>
      </c>
      <c r="L18" s="263">
        <v>0</v>
      </c>
      <c r="M18" s="304">
        <v>0</v>
      </c>
      <c r="N18" s="265" t="s">
        <v>13</v>
      </c>
      <c r="O18" s="304" t="s">
        <v>13</v>
      </c>
      <c r="P18" s="266">
        <v>10639</v>
      </c>
      <c r="Q18" s="223"/>
      <c r="R18" s="263"/>
      <c r="S18" s="171"/>
    </row>
    <row r="19" spans="1:19">
      <c r="A19" s="262">
        <v>1973</v>
      </c>
      <c r="B19" s="263">
        <v>7517</v>
      </c>
      <c r="C19" s="303">
        <f t="shared" si="0"/>
        <v>0.82749889916336417</v>
      </c>
      <c r="D19" s="263">
        <v>1303</v>
      </c>
      <c r="E19" s="303">
        <f t="shared" si="3"/>
        <v>0.14343901365037429</v>
      </c>
      <c r="F19" s="264">
        <v>69</v>
      </c>
      <c r="G19" s="303">
        <f t="shared" si="1"/>
        <v>7.5957727873183622E-3</v>
      </c>
      <c r="H19" s="264">
        <v>195</v>
      </c>
      <c r="I19" s="304">
        <f t="shared" si="4"/>
        <v>2.1466314398943198E-2</v>
      </c>
      <c r="J19" s="263">
        <v>0</v>
      </c>
      <c r="K19" s="304">
        <f t="shared" si="2"/>
        <v>0</v>
      </c>
      <c r="L19" s="263">
        <v>0</v>
      </c>
      <c r="M19" s="304">
        <v>0</v>
      </c>
      <c r="N19" s="265" t="s">
        <v>13</v>
      </c>
      <c r="O19" s="304" t="s">
        <v>13</v>
      </c>
      <c r="P19" s="266">
        <v>9084</v>
      </c>
      <c r="Q19" s="223"/>
      <c r="R19" s="263"/>
      <c r="S19" s="171"/>
    </row>
    <row r="20" spans="1:19">
      <c r="A20" s="262">
        <v>1974</v>
      </c>
      <c r="B20" s="263">
        <v>9726</v>
      </c>
      <c r="C20" s="303">
        <f t="shared" si="0"/>
        <v>0.88097826086956521</v>
      </c>
      <c r="D20" s="263">
        <v>1210</v>
      </c>
      <c r="E20" s="303">
        <f t="shared" si="3"/>
        <v>0.10960144927536232</v>
      </c>
      <c r="F20" s="264">
        <v>6</v>
      </c>
      <c r="G20" s="303">
        <f t="shared" si="1"/>
        <v>5.4347826086956522E-4</v>
      </c>
      <c r="H20" s="264">
        <v>98</v>
      </c>
      <c r="I20" s="304">
        <f t="shared" si="4"/>
        <v>8.8768115942028988E-3</v>
      </c>
      <c r="J20" s="263">
        <v>0</v>
      </c>
      <c r="K20" s="304">
        <f t="shared" si="2"/>
        <v>0</v>
      </c>
      <c r="L20" s="263">
        <v>0</v>
      </c>
      <c r="M20" s="304">
        <v>0</v>
      </c>
      <c r="N20" s="265" t="s">
        <v>13</v>
      </c>
      <c r="O20" s="304" t="s">
        <v>13</v>
      </c>
      <c r="P20" s="266">
        <v>11040</v>
      </c>
      <c r="Q20" s="223"/>
      <c r="R20" s="263"/>
      <c r="S20" s="171"/>
    </row>
    <row r="21" spans="1:19">
      <c r="A21" s="262">
        <v>1975</v>
      </c>
      <c r="B21" s="263">
        <v>9560</v>
      </c>
      <c r="C21" s="303">
        <f t="shared" si="0"/>
        <v>0.8522777926361772</v>
      </c>
      <c r="D21" s="263">
        <v>1544</v>
      </c>
      <c r="E21" s="303">
        <f t="shared" si="3"/>
        <v>0.13764821253454579</v>
      </c>
      <c r="F21" s="264">
        <v>17</v>
      </c>
      <c r="G21" s="303">
        <f t="shared" si="1"/>
        <v>1.5155567442275118E-3</v>
      </c>
      <c r="H21" s="264">
        <v>96</v>
      </c>
      <c r="I21" s="304">
        <f t="shared" si="4"/>
        <v>8.5584380850494777E-3</v>
      </c>
      <c r="J21" s="263">
        <v>0</v>
      </c>
      <c r="K21" s="304">
        <f t="shared" si="2"/>
        <v>0</v>
      </c>
      <c r="L21" s="263">
        <v>0</v>
      </c>
      <c r="M21" s="304">
        <v>0</v>
      </c>
      <c r="N21" s="265" t="s">
        <v>13</v>
      </c>
      <c r="O21" s="304" t="s">
        <v>13</v>
      </c>
      <c r="P21" s="266">
        <v>11217</v>
      </c>
      <c r="Q21" s="223"/>
      <c r="R21" s="263"/>
      <c r="S21" s="171"/>
    </row>
    <row r="22" spans="1:19">
      <c r="A22" s="262">
        <v>1976</v>
      </c>
      <c r="B22" s="263">
        <v>12402</v>
      </c>
      <c r="C22" s="303">
        <f t="shared" si="0"/>
        <v>0.77251775258502553</v>
      </c>
      <c r="D22" s="263">
        <v>3558</v>
      </c>
      <c r="E22" s="303">
        <f t="shared" si="3"/>
        <v>0.22162700884514763</v>
      </c>
      <c r="F22" s="264">
        <v>27</v>
      </c>
      <c r="G22" s="303">
        <f t="shared" si="1"/>
        <v>1.6818238445247291E-3</v>
      </c>
      <c r="H22" s="264">
        <v>67</v>
      </c>
      <c r="I22" s="304">
        <f t="shared" si="4"/>
        <v>4.1734147253021051E-3</v>
      </c>
      <c r="J22" s="263">
        <v>0</v>
      </c>
      <c r="K22" s="304">
        <f t="shared" si="2"/>
        <v>0</v>
      </c>
      <c r="L22" s="263">
        <v>0</v>
      </c>
      <c r="M22" s="304">
        <v>0</v>
      </c>
      <c r="N22" s="265" t="s">
        <v>13</v>
      </c>
      <c r="O22" s="304" t="s">
        <v>13</v>
      </c>
      <c r="P22" s="266">
        <v>16054</v>
      </c>
      <c r="Q22" s="223"/>
      <c r="R22" s="263"/>
      <c r="S22" s="171"/>
    </row>
    <row r="23" spans="1:19">
      <c r="A23" s="262">
        <v>1977</v>
      </c>
      <c r="B23" s="263">
        <v>8460</v>
      </c>
      <c r="C23" s="303">
        <f t="shared" si="0"/>
        <v>0.63007373203247186</v>
      </c>
      <c r="D23" s="263">
        <v>4788</v>
      </c>
      <c r="E23" s="303">
        <f t="shared" si="3"/>
        <v>0.35659492068220749</v>
      </c>
      <c r="F23" s="264">
        <v>92</v>
      </c>
      <c r="G23" s="303">
        <f t="shared" si="1"/>
        <v>6.85186564385194E-3</v>
      </c>
      <c r="H23" s="264">
        <v>87</v>
      </c>
      <c r="I23" s="304">
        <f t="shared" si="4"/>
        <v>6.4794816414686825E-3</v>
      </c>
      <c r="J23" s="263">
        <v>0</v>
      </c>
      <c r="K23" s="304">
        <f t="shared" si="2"/>
        <v>0</v>
      </c>
      <c r="L23" s="263">
        <v>0</v>
      </c>
      <c r="M23" s="304">
        <v>0</v>
      </c>
      <c r="N23" s="265" t="s">
        <v>13</v>
      </c>
      <c r="O23" s="304" t="s">
        <v>13</v>
      </c>
      <c r="P23" s="266">
        <v>13427</v>
      </c>
      <c r="Q23" s="223"/>
      <c r="R23" s="263"/>
      <c r="S23" s="171"/>
    </row>
    <row r="24" spans="1:19">
      <c r="A24" s="262">
        <v>1978</v>
      </c>
      <c r="B24" s="263">
        <v>11708</v>
      </c>
      <c r="C24" s="303">
        <f t="shared" si="0"/>
        <v>0.70116181578632175</v>
      </c>
      <c r="D24" s="263">
        <v>4871</v>
      </c>
      <c r="E24" s="303">
        <f t="shared" si="3"/>
        <v>0.29171158222541621</v>
      </c>
      <c r="F24" s="264">
        <v>35</v>
      </c>
      <c r="G24" s="303">
        <f t="shared" si="1"/>
        <v>2.0960594083123726E-3</v>
      </c>
      <c r="H24" s="264">
        <v>84</v>
      </c>
      <c r="I24" s="304">
        <f t="shared" si="4"/>
        <v>5.0305425799496949E-3</v>
      </c>
      <c r="J24" s="263">
        <v>0</v>
      </c>
      <c r="K24" s="304">
        <f t="shared" si="2"/>
        <v>0</v>
      </c>
      <c r="L24" s="263">
        <v>0</v>
      </c>
      <c r="M24" s="304">
        <v>0</v>
      </c>
      <c r="N24" s="265" t="s">
        <v>13</v>
      </c>
      <c r="O24" s="304" t="s">
        <v>13</v>
      </c>
      <c r="P24" s="266">
        <v>16698</v>
      </c>
      <c r="Q24" s="223"/>
      <c r="R24" s="263"/>
      <c r="S24" s="171"/>
    </row>
    <row r="25" spans="1:19">
      <c r="A25" s="262">
        <v>1979</v>
      </c>
      <c r="B25" s="263">
        <v>10344</v>
      </c>
      <c r="C25" s="303">
        <f t="shared" si="0"/>
        <v>0.65868568517575143</v>
      </c>
      <c r="D25" s="263">
        <v>5114</v>
      </c>
      <c r="E25" s="303">
        <f t="shared" si="3"/>
        <v>0.32564951604686704</v>
      </c>
      <c r="F25" s="264">
        <v>58</v>
      </c>
      <c r="G25" s="303">
        <f t="shared" si="1"/>
        <v>3.6933265410086604E-3</v>
      </c>
      <c r="H25" s="264">
        <v>188</v>
      </c>
      <c r="I25" s="304">
        <f t="shared" si="4"/>
        <v>1.1971472236372899E-2</v>
      </c>
      <c r="J25" s="263">
        <v>0</v>
      </c>
      <c r="K25" s="304">
        <f t="shared" si="2"/>
        <v>0</v>
      </c>
      <c r="L25" s="263">
        <v>0</v>
      </c>
      <c r="M25" s="304">
        <v>0</v>
      </c>
      <c r="N25" s="265" t="s">
        <v>13</v>
      </c>
      <c r="O25" s="304" t="s">
        <v>13</v>
      </c>
      <c r="P25" s="266">
        <v>15704</v>
      </c>
      <c r="Q25" s="223"/>
      <c r="R25" s="263"/>
      <c r="S25" s="171"/>
    </row>
    <row r="26" spans="1:19">
      <c r="A26" s="262">
        <v>1980</v>
      </c>
      <c r="B26" s="263">
        <v>9966</v>
      </c>
      <c r="C26" s="303">
        <f t="shared" si="0"/>
        <v>0.64384004134634021</v>
      </c>
      <c r="D26" s="263">
        <v>5140</v>
      </c>
      <c r="E26" s="303">
        <f t="shared" si="3"/>
        <v>0.3320627947541831</v>
      </c>
      <c r="F26" s="264">
        <v>22</v>
      </c>
      <c r="G26" s="303">
        <f t="shared" si="1"/>
        <v>1.4212804444731571E-3</v>
      </c>
      <c r="H26" s="264">
        <v>351</v>
      </c>
      <c r="I26" s="304">
        <f t="shared" si="4"/>
        <v>2.2675883455003553E-2</v>
      </c>
      <c r="J26" s="263">
        <v>0</v>
      </c>
      <c r="K26" s="304">
        <f t="shared" si="2"/>
        <v>0</v>
      </c>
      <c r="L26" s="263">
        <v>0</v>
      </c>
      <c r="M26" s="304">
        <v>0</v>
      </c>
      <c r="N26" s="265" t="s">
        <v>13</v>
      </c>
      <c r="O26" s="304" t="s">
        <v>13</v>
      </c>
      <c r="P26" s="266">
        <v>15479</v>
      </c>
      <c r="Q26" s="223"/>
      <c r="R26" s="263"/>
      <c r="S26" s="171"/>
    </row>
    <row r="27" spans="1:19">
      <c r="A27" s="262">
        <v>1981</v>
      </c>
      <c r="B27" s="263">
        <v>11323</v>
      </c>
      <c r="C27" s="303">
        <f t="shared" si="0"/>
        <v>0.68379733075668825</v>
      </c>
      <c r="D27" s="263">
        <v>5047</v>
      </c>
      <c r="E27" s="303">
        <f t="shared" si="3"/>
        <v>0.30478893652998368</v>
      </c>
      <c r="F27" s="264">
        <v>13</v>
      </c>
      <c r="G27" s="303">
        <f t="shared" si="1"/>
        <v>7.8507156229240896E-4</v>
      </c>
      <c r="H27" s="264">
        <v>176</v>
      </c>
      <c r="I27" s="304">
        <f t="shared" si="4"/>
        <v>1.062866115103569E-2</v>
      </c>
      <c r="J27" s="263">
        <v>0</v>
      </c>
      <c r="K27" s="304">
        <f t="shared" si="2"/>
        <v>0</v>
      </c>
      <c r="L27" s="263">
        <v>0</v>
      </c>
      <c r="M27" s="304">
        <v>0</v>
      </c>
      <c r="N27" s="265" t="s">
        <v>13</v>
      </c>
      <c r="O27" s="304" t="s">
        <v>13</v>
      </c>
      <c r="P27" s="266">
        <v>16559</v>
      </c>
      <c r="Q27" s="223"/>
      <c r="R27" s="263"/>
      <c r="S27" s="171"/>
    </row>
    <row r="28" spans="1:19">
      <c r="A28" s="262">
        <v>1982</v>
      </c>
      <c r="B28" s="263">
        <v>10920</v>
      </c>
      <c r="C28" s="303">
        <f t="shared" si="0"/>
        <v>0.73704103671706267</v>
      </c>
      <c r="D28" s="263">
        <v>3853</v>
      </c>
      <c r="E28" s="303">
        <f t="shared" si="3"/>
        <v>0.26005669546436283</v>
      </c>
      <c r="F28" s="264">
        <v>10</v>
      </c>
      <c r="G28" s="303">
        <f t="shared" si="1"/>
        <v>6.7494600431965439E-4</v>
      </c>
      <c r="H28" s="264">
        <v>33</v>
      </c>
      <c r="I28" s="304">
        <f t="shared" si="4"/>
        <v>2.2273218142548597E-3</v>
      </c>
      <c r="J28" s="263">
        <v>0</v>
      </c>
      <c r="K28" s="304">
        <f t="shared" si="2"/>
        <v>0</v>
      </c>
      <c r="L28" s="263">
        <v>0</v>
      </c>
      <c r="M28" s="304">
        <v>0</v>
      </c>
      <c r="N28" s="265" t="s">
        <v>13</v>
      </c>
      <c r="O28" s="304" t="s">
        <v>13</v>
      </c>
      <c r="P28" s="266">
        <v>14816</v>
      </c>
      <c r="Q28" s="223"/>
      <c r="R28" s="263"/>
      <c r="S28" s="171"/>
    </row>
    <row r="29" spans="1:19">
      <c r="A29" s="262">
        <v>1983</v>
      </c>
      <c r="B29" s="263">
        <v>11561.22976</v>
      </c>
      <c r="C29" s="303">
        <f t="shared" si="0"/>
        <v>0.76781917685235612</v>
      </c>
      <c r="D29" s="263">
        <v>3452</v>
      </c>
      <c r="E29" s="303">
        <f t="shared" si="3"/>
        <v>0.22925863887461859</v>
      </c>
      <c r="F29" s="264">
        <v>10</v>
      </c>
      <c r="G29" s="303">
        <f t="shared" si="1"/>
        <v>6.6413278932392404E-4</v>
      </c>
      <c r="H29" s="264">
        <v>34</v>
      </c>
      <c r="I29" s="304">
        <f t="shared" si="4"/>
        <v>2.2580514837013421E-3</v>
      </c>
      <c r="J29" s="263">
        <v>0</v>
      </c>
      <c r="K29" s="304">
        <f t="shared" si="2"/>
        <v>0</v>
      </c>
      <c r="L29" s="263">
        <v>0</v>
      </c>
      <c r="M29" s="304">
        <v>0</v>
      </c>
      <c r="N29" s="265" t="s">
        <v>13</v>
      </c>
      <c r="O29" s="304" t="s">
        <v>13</v>
      </c>
      <c r="P29" s="266">
        <v>15057.22976</v>
      </c>
      <c r="Q29" s="223"/>
      <c r="R29" s="263"/>
      <c r="S29" s="171"/>
    </row>
    <row r="30" spans="1:19">
      <c r="A30" s="262">
        <v>1984</v>
      </c>
      <c r="B30" s="263">
        <v>11112.5288</v>
      </c>
      <c r="C30" s="303">
        <f t="shared" si="0"/>
        <v>0.58988304861683249</v>
      </c>
      <c r="D30" s="263">
        <v>7650</v>
      </c>
      <c r="E30" s="303">
        <f t="shared" si="3"/>
        <v>0.40608266607315957</v>
      </c>
      <c r="F30" s="264">
        <v>36</v>
      </c>
      <c r="G30" s="303">
        <f t="shared" si="1"/>
        <v>1.9109772521089864E-3</v>
      </c>
      <c r="H30" s="264">
        <v>40</v>
      </c>
      <c r="I30" s="304">
        <f t="shared" si="4"/>
        <v>2.1233080578988736E-3</v>
      </c>
      <c r="J30" s="263">
        <v>0</v>
      </c>
      <c r="K30" s="304">
        <f t="shared" si="2"/>
        <v>0</v>
      </c>
      <c r="L30" s="263">
        <v>0</v>
      </c>
      <c r="M30" s="304">
        <v>0</v>
      </c>
      <c r="N30" s="265" t="s">
        <v>13</v>
      </c>
      <c r="O30" s="304" t="s">
        <v>13</v>
      </c>
      <c r="P30" s="266">
        <v>18838.5288</v>
      </c>
      <c r="Q30" s="223"/>
      <c r="R30" s="263"/>
      <c r="S30" s="171"/>
    </row>
    <row r="31" spans="1:19">
      <c r="A31" s="262">
        <v>1985</v>
      </c>
      <c r="B31" s="263">
        <v>10177.79169</v>
      </c>
      <c r="C31" s="303">
        <f t="shared" si="0"/>
        <v>0.54377864852969371</v>
      </c>
      <c r="D31" s="263">
        <v>8465</v>
      </c>
      <c r="E31" s="303">
        <f t="shared" si="3"/>
        <v>0.45226768242137766</v>
      </c>
      <c r="F31" s="264">
        <v>16</v>
      </c>
      <c r="G31" s="303">
        <f t="shared" si="1"/>
        <v>8.5484736193054255E-4</v>
      </c>
      <c r="H31" s="264">
        <v>58</v>
      </c>
      <c r="I31" s="304">
        <f t="shared" si="4"/>
        <v>3.0988216869982169E-3</v>
      </c>
      <c r="J31" s="263">
        <v>0</v>
      </c>
      <c r="K31" s="304">
        <f t="shared" si="2"/>
        <v>0</v>
      </c>
      <c r="L31" s="263">
        <v>0</v>
      </c>
      <c r="M31" s="304">
        <v>0</v>
      </c>
      <c r="N31" s="265" t="s">
        <v>13</v>
      </c>
      <c r="O31" s="304" t="s">
        <v>13</v>
      </c>
      <c r="P31" s="266">
        <v>18716.791689999998</v>
      </c>
      <c r="Q31" s="223"/>
      <c r="R31" s="263"/>
      <c r="S31" s="171"/>
    </row>
    <row r="32" spans="1:19">
      <c r="A32" s="262">
        <v>1986</v>
      </c>
      <c r="B32" s="263">
        <v>10863.10356</v>
      </c>
      <c r="C32" s="303">
        <f t="shared" si="0"/>
        <v>0.48510933425969471</v>
      </c>
      <c r="D32" s="263">
        <v>11469</v>
      </c>
      <c r="E32" s="303">
        <f t="shared" si="3"/>
        <v>0.5121666127819221</v>
      </c>
      <c r="F32" s="264">
        <v>9</v>
      </c>
      <c r="G32" s="303">
        <f t="shared" si="1"/>
        <v>4.01909452876214E-4</v>
      </c>
      <c r="H32" s="264">
        <v>52</v>
      </c>
      <c r="I32" s="304">
        <f t="shared" si="4"/>
        <v>2.3221435055070143E-3</v>
      </c>
      <c r="J32" s="263">
        <v>0</v>
      </c>
      <c r="K32" s="304">
        <f t="shared" si="2"/>
        <v>0</v>
      </c>
      <c r="L32" s="263">
        <v>0</v>
      </c>
      <c r="M32" s="304">
        <v>0</v>
      </c>
      <c r="N32" s="265" t="s">
        <v>13</v>
      </c>
      <c r="O32" s="304" t="s">
        <v>13</v>
      </c>
      <c r="P32" s="266">
        <v>22393.10356</v>
      </c>
      <c r="Q32" s="223"/>
      <c r="R32" s="263"/>
      <c r="S32" s="171"/>
    </row>
    <row r="33" spans="1:26">
      <c r="A33" s="262">
        <v>1987</v>
      </c>
      <c r="B33" s="263">
        <v>8930.8543910000008</v>
      </c>
      <c r="C33" s="303">
        <f t="shared" si="0"/>
        <v>0.42850574730320312</v>
      </c>
      <c r="D33" s="263">
        <v>11836</v>
      </c>
      <c r="E33" s="303">
        <f t="shared" si="3"/>
        <v>0.56789572453356463</v>
      </c>
      <c r="F33" s="264">
        <v>17</v>
      </c>
      <c r="G33" s="303">
        <f t="shared" si="1"/>
        <v>8.1566638366598499E-4</v>
      </c>
      <c r="H33" s="264">
        <v>58</v>
      </c>
      <c r="I33" s="304">
        <f t="shared" si="4"/>
        <v>2.7828617795663015E-3</v>
      </c>
      <c r="J33" s="263">
        <v>0</v>
      </c>
      <c r="K33" s="304">
        <f t="shared" si="2"/>
        <v>0</v>
      </c>
      <c r="L33" s="263">
        <v>0</v>
      </c>
      <c r="M33" s="304">
        <v>0</v>
      </c>
      <c r="N33" s="265" t="s">
        <v>13</v>
      </c>
      <c r="O33" s="304" t="s">
        <v>13</v>
      </c>
      <c r="P33" s="266">
        <v>20841.854391000001</v>
      </c>
      <c r="Q33" s="223"/>
      <c r="R33" s="263"/>
      <c r="S33" s="171"/>
    </row>
    <row r="34" spans="1:26">
      <c r="A34" s="262">
        <v>1988</v>
      </c>
      <c r="B34" s="263">
        <v>8246.1293549999991</v>
      </c>
      <c r="C34" s="303">
        <f t="shared" si="0"/>
        <v>0.33283900305189751</v>
      </c>
      <c r="D34" s="263">
        <v>16462</v>
      </c>
      <c r="E34" s="303">
        <f t="shared" si="3"/>
        <v>0.66445667201643566</v>
      </c>
      <c r="F34" s="264">
        <v>30</v>
      </c>
      <c r="G34" s="303">
        <f t="shared" si="1"/>
        <v>1.2108917604478841E-3</v>
      </c>
      <c r="H34" s="264">
        <v>37</v>
      </c>
      <c r="I34" s="304">
        <f t="shared" si="4"/>
        <v>1.4934331712190571E-3</v>
      </c>
      <c r="J34" s="263">
        <v>0</v>
      </c>
      <c r="K34" s="304">
        <f t="shared" si="2"/>
        <v>0</v>
      </c>
      <c r="L34" s="263">
        <v>0</v>
      </c>
      <c r="M34" s="304">
        <v>0</v>
      </c>
      <c r="N34" s="265" t="s">
        <v>13</v>
      </c>
      <c r="O34" s="304" t="s">
        <v>13</v>
      </c>
      <c r="P34" s="266">
        <v>24775.129354999997</v>
      </c>
      <c r="Q34" s="223"/>
      <c r="R34" s="263"/>
      <c r="S34" s="171"/>
    </row>
    <row r="35" spans="1:26">
      <c r="A35" s="262">
        <v>1989</v>
      </c>
      <c r="B35" s="263">
        <v>9580.4045760000008</v>
      </c>
      <c r="C35" s="303">
        <f t="shared" si="0"/>
        <v>0.37158693044938435</v>
      </c>
      <c r="D35" s="263">
        <v>16129</v>
      </c>
      <c r="E35" s="303">
        <f t="shared" si="3"/>
        <v>0.62558168119873347</v>
      </c>
      <c r="F35" s="264">
        <v>30</v>
      </c>
      <c r="G35" s="303">
        <f t="shared" si="1"/>
        <v>1.1635842541981526E-3</v>
      </c>
      <c r="H35" s="264">
        <v>43</v>
      </c>
      <c r="I35" s="304">
        <f t="shared" si="4"/>
        <v>1.6678040976840188E-3</v>
      </c>
      <c r="J35" s="263">
        <v>0</v>
      </c>
      <c r="K35" s="304">
        <f t="shared" si="2"/>
        <v>0</v>
      </c>
      <c r="L35" s="263">
        <v>0</v>
      </c>
      <c r="M35" s="304">
        <v>0</v>
      </c>
      <c r="N35" s="265" t="s">
        <v>13</v>
      </c>
      <c r="O35" s="304" t="s">
        <v>13</v>
      </c>
      <c r="P35" s="266">
        <v>25782.404576000001</v>
      </c>
      <c r="Q35" s="223"/>
      <c r="R35" s="263"/>
      <c r="S35" s="171"/>
    </row>
    <row r="36" spans="1:26">
      <c r="A36" s="262">
        <v>1990</v>
      </c>
      <c r="B36" s="263">
        <v>10717</v>
      </c>
      <c r="C36" s="303">
        <f t="shared" si="0"/>
        <v>0.41171724932769882</v>
      </c>
      <c r="D36" s="263">
        <v>15120</v>
      </c>
      <c r="E36" s="303">
        <f>D36/P36</f>
        <v>0.58086822896657697</v>
      </c>
      <c r="F36" s="264">
        <v>28</v>
      </c>
      <c r="G36" s="303">
        <f t="shared" si="1"/>
        <v>1.0756819054936612E-3</v>
      </c>
      <c r="H36" s="264">
        <v>55</v>
      </c>
      <c r="I36" s="304">
        <f t="shared" si="4"/>
        <v>2.1129466000768342E-3</v>
      </c>
      <c r="J36" s="263">
        <v>0</v>
      </c>
      <c r="K36" s="304">
        <f t="shared" si="2"/>
        <v>0</v>
      </c>
      <c r="L36" s="263">
        <v>0</v>
      </c>
      <c r="M36" s="304">
        <v>0</v>
      </c>
      <c r="N36" s="265">
        <v>109</v>
      </c>
      <c r="O36" s="305">
        <f t="shared" ref="O36:O61" si="5">N36/P36</f>
        <v>4.1874759892431808E-3</v>
      </c>
      <c r="P36" s="266">
        <v>26030</v>
      </c>
      <c r="Q36" s="223"/>
      <c r="R36" s="263"/>
      <c r="S36" s="171"/>
      <c r="T36" s="291">
        <v>1990</v>
      </c>
      <c r="U36" s="292"/>
      <c r="W36" s="225"/>
    </row>
    <row r="37" spans="1:26">
      <c r="A37" s="262">
        <v>1991</v>
      </c>
      <c r="B37" s="263">
        <v>11970</v>
      </c>
      <c r="C37" s="303">
        <f t="shared" si="0"/>
        <v>0.41922039715616571</v>
      </c>
      <c r="D37" s="263">
        <v>16433</v>
      </c>
      <c r="E37" s="303">
        <f t="shared" si="3"/>
        <v>0.57552621440829332</v>
      </c>
      <c r="F37" s="264">
        <v>20</v>
      </c>
      <c r="G37" s="303">
        <f t="shared" si="1"/>
        <v>7.0045179140545651E-4</v>
      </c>
      <c r="H37" s="264">
        <v>32</v>
      </c>
      <c r="I37" s="304">
        <f t="shared" si="4"/>
        <v>1.1207228662487305E-3</v>
      </c>
      <c r="J37" s="263">
        <v>0</v>
      </c>
      <c r="K37" s="304">
        <f t="shared" si="2"/>
        <v>0</v>
      </c>
      <c r="L37" s="263">
        <v>0</v>
      </c>
      <c r="M37" s="304">
        <v>0</v>
      </c>
      <c r="N37" s="265">
        <v>99</v>
      </c>
      <c r="O37" s="305">
        <f t="shared" si="5"/>
        <v>3.46723636745701E-3</v>
      </c>
      <c r="P37" s="266">
        <v>28553</v>
      </c>
      <c r="Q37" s="223"/>
      <c r="R37" s="263"/>
      <c r="S37" s="171"/>
      <c r="T37" s="291">
        <v>1991</v>
      </c>
      <c r="U37" s="292"/>
      <c r="W37" s="111" t="s">
        <v>11</v>
      </c>
      <c r="X37" s="111" t="s">
        <v>11</v>
      </c>
      <c r="Y37" s="222" t="s">
        <v>11</v>
      </c>
      <c r="Z37" s="111" t="s">
        <v>11</v>
      </c>
    </row>
    <row r="38" spans="1:26">
      <c r="A38" s="262">
        <v>1992</v>
      </c>
      <c r="B38" s="263">
        <v>8271</v>
      </c>
      <c r="C38" s="303">
        <f t="shared" ref="C38:C69" si="6">B38/P38</f>
        <v>0.31934362934362936</v>
      </c>
      <c r="D38" s="263">
        <v>17454</v>
      </c>
      <c r="E38" s="303">
        <f t="shared" si="3"/>
        <v>0.67389961389961395</v>
      </c>
      <c r="F38" s="264">
        <v>17</v>
      </c>
      <c r="G38" s="303">
        <f t="shared" si="1"/>
        <v>6.5637065637065637E-4</v>
      </c>
      <c r="H38" s="264">
        <v>35</v>
      </c>
      <c r="I38" s="304">
        <f t="shared" si="4"/>
        <v>1.3513513513513514E-3</v>
      </c>
      <c r="J38" s="263">
        <v>0</v>
      </c>
      <c r="K38" s="304">
        <f t="shared" ref="K38:K69" si="7">J38/P38</f>
        <v>0</v>
      </c>
      <c r="L38" s="263">
        <v>0</v>
      </c>
      <c r="M38" s="304">
        <v>0</v>
      </c>
      <c r="N38" s="265">
        <v>123</v>
      </c>
      <c r="O38" s="305">
        <f t="shared" si="5"/>
        <v>4.7490347490347492E-3</v>
      </c>
      <c r="P38" s="266">
        <v>25900</v>
      </c>
      <c r="Q38" s="223"/>
      <c r="R38" s="263"/>
      <c r="S38" s="171"/>
      <c r="T38" s="291">
        <v>1992</v>
      </c>
      <c r="U38" s="292"/>
    </row>
    <row r="39" spans="1:26">
      <c r="A39" s="262">
        <v>1993</v>
      </c>
      <c r="B39" s="263">
        <v>9614</v>
      </c>
      <c r="C39" s="303">
        <f t="shared" si="6"/>
        <v>0.4027143635068906</v>
      </c>
      <c r="D39" s="263">
        <v>14083</v>
      </c>
      <c r="E39" s="303">
        <f t="shared" ref="E39:E69" si="8">D39/P39</f>
        <v>0.58991329116575209</v>
      </c>
      <c r="F39" s="264">
        <v>22</v>
      </c>
      <c r="G39" s="303">
        <f t="shared" ref="G39:G69" si="9">F39/P39</f>
        <v>9.2154316591965815E-4</v>
      </c>
      <c r="H39" s="264">
        <v>35</v>
      </c>
      <c r="I39" s="304">
        <f t="shared" ref="I39:I69" si="10">H39/P39</f>
        <v>1.4660914003267289E-3</v>
      </c>
      <c r="J39" s="263">
        <v>0</v>
      </c>
      <c r="K39" s="304">
        <f t="shared" si="7"/>
        <v>0</v>
      </c>
      <c r="L39" s="263">
        <v>0</v>
      </c>
      <c r="M39" s="304">
        <v>0</v>
      </c>
      <c r="N39" s="265">
        <v>119</v>
      </c>
      <c r="O39" s="305">
        <f t="shared" si="5"/>
        <v>4.9847107611108782E-3</v>
      </c>
      <c r="P39" s="266">
        <v>23873</v>
      </c>
      <c r="Q39" s="223"/>
      <c r="R39" s="263"/>
      <c r="S39" s="171"/>
      <c r="T39" s="291">
        <v>1993</v>
      </c>
      <c r="U39" s="292"/>
    </row>
    <row r="40" spans="1:26">
      <c r="A40" s="262">
        <v>1994</v>
      </c>
      <c r="B40" s="263">
        <v>8150</v>
      </c>
      <c r="C40" s="303">
        <f t="shared" si="6"/>
        <v>0.32401701586291892</v>
      </c>
      <c r="D40" s="263">
        <v>16809</v>
      </c>
      <c r="E40" s="303">
        <f t="shared" si="8"/>
        <v>0.66827018645887171</v>
      </c>
      <c r="F40" s="264">
        <v>20</v>
      </c>
      <c r="G40" s="303">
        <f t="shared" si="9"/>
        <v>7.9513378125869679E-4</v>
      </c>
      <c r="H40" s="264">
        <v>73</v>
      </c>
      <c r="I40" s="304">
        <f t="shared" si="10"/>
        <v>2.9022383015942432E-3</v>
      </c>
      <c r="J40" s="263">
        <v>0</v>
      </c>
      <c r="K40" s="304">
        <f t="shared" si="7"/>
        <v>0</v>
      </c>
      <c r="L40" s="263">
        <v>0</v>
      </c>
      <c r="M40" s="304">
        <v>0</v>
      </c>
      <c r="N40" s="265">
        <v>100</v>
      </c>
      <c r="O40" s="305">
        <f t="shared" si="5"/>
        <v>3.9756689062934837E-3</v>
      </c>
      <c r="P40" s="266">
        <v>25153</v>
      </c>
      <c r="Q40" s="223"/>
      <c r="R40" s="263"/>
      <c r="S40" s="171"/>
      <c r="T40" s="291">
        <v>1994</v>
      </c>
      <c r="U40" s="292"/>
      <c r="V40" s="111"/>
    </row>
    <row r="41" spans="1:26">
      <c r="A41" s="262">
        <v>1995</v>
      </c>
      <c r="B41" s="263">
        <v>10746</v>
      </c>
      <c r="C41" s="303">
        <f t="shared" si="6"/>
        <v>0.41392858518547049</v>
      </c>
      <c r="D41" s="263">
        <v>14934</v>
      </c>
      <c r="E41" s="303">
        <f t="shared" si="8"/>
        <v>0.57524748661453717</v>
      </c>
      <c r="F41" s="264">
        <v>168</v>
      </c>
      <c r="G41" s="303">
        <f t="shared" si="9"/>
        <v>6.4712453295327609E-3</v>
      </c>
      <c r="H41" s="264">
        <v>49</v>
      </c>
      <c r="I41" s="304">
        <f t="shared" si="10"/>
        <v>1.8874465544470552E-3</v>
      </c>
      <c r="J41" s="263">
        <v>0</v>
      </c>
      <c r="K41" s="304">
        <f t="shared" si="7"/>
        <v>0</v>
      </c>
      <c r="L41" s="263">
        <v>0</v>
      </c>
      <c r="M41" s="304">
        <v>0</v>
      </c>
      <c r="N41" s="265">
        <v>65</v>
      </c>
      <c r="O41" s="305">
        <f t="shared" si="5"/>
        <v>2.5037556334501754E-3</v>
      </c>
      <c r="P41" s="266">
        <v>25961</v>
      </c>
      <c r="Q41" s="223"/>
      <c r="R41" s="263"/>
      <c r="S41" s="171"/>
      <c r="T41" s="291">
        <v>1995</v>
      </c>
      <c r="U41" s="292"/>
    </row>
    <row r="42" spans="1:26">
      <c r="A42" s="262">
        <v>1996</v>
      </c>
      <c r="B42" s="263">
        <v>13795</v>
      </c>
      <c r="C42" s="303">
        <f t="shared" si="6"/>
        <v>0.51402913887543322</v>
      </c>
      <c r="D42" s="263">
        <v>12463</v>
      </c>
      <c r="E42" s="303">
        <f t="shared" si="8"/>
        <v>0.46439616946752615</v>
      </c>
      <c r="F42" s="264">
        <v>445</v>
      </c>
      <c r="G42" s="303">
        <f t="shared" si="9"/>
        <v>1.6581585125013974E-2</v>
      </c>
      <c r="H42" s="264">
        <v>55</v>
      </c>
      <c r="I42" s="304">
        <f t="shared" si="10"/>
        <v>2.0494093974736372E-3</v>
      </c>
      <c r="J42" s="263">
        <v>0</v>
      </c>
      <c r="K42" s="304">
        <f t="shared" si="7"/>
        <v>0</v>
      </c>
      <c r="L42" s="263">
        <v>0</v>
      </c>
      <c r="M42" s="304">
        <v>0</v>
      </c>
      <c r="N42" s="265">
        <v>80</v>
      </c>
      <c r="O42" s="305">
        <f t="shared" si="5"/>
        <v>2.9809591235980177E-3</v>
      </c>
      <c r="P42" s="266">
        <v>26837</v>
      </c>
      <c r="Q42" s="223"/>
      <c r="R42" s="263"/>
      <c r="S42" s="171"/>
      <c r="T42" s="293">
        <v>1996</v>
      </c>
      <c r="U42" s="292"/>
    </row>
    <row r="43" spans="1:26">
      <c r="A43" s="262">
        <v>1997</v>
      </c>
      <c r="B43" s="263">
        <v>13406</v>
      </c>
      <c r="C43" s="303">
        <f t="shared" si="6"/>
        <v>0.46895441984118658</v>
      </c>
      <c r="D43" s="263">
        <v>14616</v>
      </c>
      <c r="E43" s="303">
        <f t="shared" si="8"/>
        <v>0.51128135166334343</v>
      </c>
      <c r="F43" s="264">
        <v>437</v>
      </c>
      <c r="G43" s="303">
        <f t="shared" si="9"/>
        <v>1.5286668765522791E-2</v>
      </c>
      <c r="H43" s="264">
        <v>49</v>
      </c>
      <c r="I43" s="304">
        <f t="shared" si="10"/>
        <v>1.7140658341204043E-3</v>
      </c>
      <c r="J43" s="263">
        <v>0</v>
      </c>
      <c r="K43" s="304">
        <f t="shared" si="7"/>
        <v>0</v>
      </c>
      <c r="L43" s="263">
        <v>0</v>
      </c>
      <c r="M43" s="304">
        <v>0</v>
      </c>
      <c r="N43" s="265">
        <v>79</v>
      </c>
      <c r="O43" s="305">
        <f t="shared" si="5"/>
        <v>2.7634938958267744E-3</v>
      </c>
      <c r="P43" s="266">
        <v>28587</v>
      </c>
      <c r="Q43" s="223"/>
      <c r="R43" s="263"/>
      <c r="S43" s="171"/>
      <c r="T43" s="293">
        <v>1997</v>
      </c>
      <c r="U43" s="292"/>
    </row>
    <row r="44" spans="1:26">
      <c r="A44" s="262">
        <v>1998</v>
      </c>
      <c r="B44" s="263">
        <v>11118</v>
      </c>
      <c r="C44" s="303">
        <f t="shared" si="6"/>
        <v>0.39063982291556865</v>
      </c>
      <c r="D44" s="263">
        <v>16785</v>
      </c>
      <c r="E44" s="303">
        <f t="shared" si="8"/>
        <v>0.58975440075893326</v>
      </c>
      <c r="F44" s="264">
        <v>427</v>
      </c>
      <c r="G44" s="303">
        <f t="shared" si="9"/>
        <v>1.5002986542988652E-2</v>
      </c>
      <c r="H44" s="264">
        <v>56</v>
      </c>
      <c r="I44" s="304">
        <f t="shared" si="10"/>
        <v>1.9676047925231018E-3</v>
      </c>
      <c r="J44" s="263">
        <v>0</v>
      </c>
      <c r="K44" s="304">
        <f t="shared" si="7"/>
        <v>0</v>
      </c>
      <c r="L44" s="263">
        <v>0</v>
      </c>
      <c r="M44" s="304">
        <v>0</v>
      </c>
      <c r="N44" s="265">
        <v>75</v>
      </c>
      <c r="O44" s="305">
        <f t="shared" si="5"/>
        <v>2.635184989986297E-3</v>
      </c>
      <c r="P44" s="266">
        <v>28461</v>
      </c>
      <c r="Q44" s="223"/>
      <c r="R44" s="263"/>
      <c r="S44" s="171"/>
      <c r="T44" s="293">
        <v>1998</v>
      </c>
      <c r="U44" s="292"/>
    </row>
    <row r="45" spans="1:26">
      <c r="A45" s="262">
        <v>1999</v>
      </c>
      <c r="B45" s="263">
        <v>13822</v>
      </c>
      <c r="C45" s="303">
        <f t="shared" si="6"/>
        <v>0.43992488621534742</v>
      </c>
      <c r="D45" s="263">
        <v>16993</v>
      </c>
      <c r="E45" s="303">
        <f t="shared" si="8"/>
        <v>0.54085107737356375</v>
      </c>
      <c r="F45" s="264">
        <v>487</v>
      </c>
      <c r="G45" s="303">
        <f t="shared" si="9"/>
        <v>1.550017505331169E-2</v>
      </c>
      <c r="H45" s="264">
        <v>37</v>
      </c>
      <c r="I45" s="304">
        <f t="shared" si="10"/>
        <v>1.1776313695534548E-3</v>
      </c>
      <c r="J45" s="263">
        <v>0</v>
      </c>
      <c r="K45" s="304">
        <f t="shared" si="7"/>
        <v>0</v>
      </c>
      <c r="L45" s="263">
        <v>0</v>
      </c>
      <c r="M45" s="304">
        <v>0</v>
      </c>
      <c r="N45" s="265">
        <v>81</v>
      </c>
      <c r="O45" s="305">
        <f t="shared" si="5"/>
        <v>2.5780578630764826E-3</v>
      </c>
      <c r="P45" s="266">
        <v>31419</v>
      </c>
      <c r="Q45" s="223"/>
      <c r="R45" s="263"/>
      <c r="S45" s="171"/>
      <c r="T45" s="293">
        <v>1999</v>
      </c>
      <c r="U45" s="292"/>
    </row>
    <row r="46" spans="1:26">
      <c r="A46" s="210">
        <v>2000</v>
      </c>
      <c r="B46" s="111">
        <v>9623</v>
      </c>
      <c r="C46" s="303">
        <f t="shared" si="6"/>
        <v>0.363791017692424</v>
      </c>
      <c r="D46" s="111">
        <v>16201</v>
      </c>
      <c r="E46" s="303">
        <f t="shared" si="8"/>
        <v>0.61246786632390748</v>
      </c>
      <c r="F46" s="111">
        <v>519.89099999999996</v>
      </c>
      <c r="G46" s="303">
        <f t="shared" si="9"/>
        <v>1.9654128232269769E-2</v>
      </c>
      <c r="H46" s="111">
        <v>26.606999999999999</v>
      </c>
      <c r="I46" s="304">
        <f t="shared" si="10"/>
        <v>1.0058596703462876E-3</v>
      </c>
      <c r="J46" s="263">
        <v>0</v>
      </c>
      <c r="K46" s="304">
        <f t="shared" si="7"/>
        <v>0</v>
      </c>
      <c r="L46" s="263">
        <v>0</v>
      </c>
      <c r="M46" s="304">
        <v>0</v>
      </c>
      <c r="N46" s="265">
        <v>81</v>
      </c>
      <c r="O46" s="305">
        <f t="shared" si="5"/>
        <v>3.0621503099954634E-3</v>
      </c>
      <c r="P46" s="268">
        <v>26452</v>
      </c>
      <c r="Q46" s="223"/>
      <c r="R46" s="111"/>
      <c r="S46" s="171"/>
      <c r="T46" s="294">
        <v>2000</v>
      </c>
      <c r="U46" s="292"/>
    </row>
    <row r="47" spans="1:26">
      <c r="A47" s="210">
        <v>2001</v>
      </c>
      <c r="B47" s="111">
        <v>6613</v>
      </c>
      <c r="C47" s="303">
        <f t="shared" si="6"/>
        <v>0.27290359854737539</v>
      </c>
      <c r="D47" s="111">
        <v>17036</v>
      </c>
      <c r="E47" s="303">
        <f t="shared" si="8"/>
        <v>0.70303730604159786</v>
      </c>
      <c r="F47" s="111">
        <v>497.61399999999998</v>
      </c>
      <c r="G47" s="303">
        <f t="shared" si="9"/>
        <v>2.0535407725321888E-2</v>
      </c>
      <c r="H47" s="111">
        <v>20.088999999999999</v>
      </c>
      <c r="I47" s="304">
        <f t="shared" si="10"/>
        <v>8.2902773192472762E-4</v>
      </c>
      <c r="J47" s="263">
        <v>0</v>
      </c>
      <c r="K47" s="304">
        <f t="shared" si="7"/>
        <v>0</v>
      </c>
      <c r="L47" s="263">
        <v>0</v>
      </c>
      <c r="M47" s="304">
        <v>0</v>
      </c>
      <c r="N47" s="265">
        <v>65</v>
      </c>
      <c r="O47" s="305">
        <f t="shared" si="5"/>
        <v>2.6824034334763948E-3</v>
      </c>
      <c r="P47" s="268">
        <v>24232</v>
      </c>
      <c r="Q47" s="223"/>
      <c r="R47" s="111"/>
      <c r="S47" s="171"/>
      <c r="T47" s="294">
        <v>2001</v>
      </c>
      <c r="U47" s="292"/>
    </row>
    <row r="48" spans="1:26">
      <c r="A48" s="210">
        <v>2002</v>
      </c>
      <c r="B48" s="111">
        <v>9567</v>
      </c>
      <c r="C48" s="303">
        <f t="shared" si="6"/>
        <v>0.37555939389181126</v>
      </c>
      <c r="D48" s="111">
        <v>15338</v>
      </c>
      <c r="E48" s="303">
        <f t="shared" si="8"/>
        <v>0.60210410614744447</v>
      </c>
      <c r="F48" s="111">
        <v>469.65899999999999</v>
      </c>
      <c r="G48" s="303">
        <f t="shared" si="9"/>
        <v>1.8436798304153255E-2</v>
      </c>
      <c r="H48" s="111">
        <v>16.678000000000001</v>
      </c>
      <c r="I48" s="304">
        <f t="shared" si="10"/>
        <v>6.5470675983355579E-4</v>
      </c>
      <c r="J48" s="263">
        <v>0</v>
      </c>
      <c r="K48" s="304">
        <f t="shared" si="7"/>
        <v>0</v>
      </c>
      <c r="L48" s="263">
        <v>0</v>
      </c>
      <c r="M48" s="304">
        <v>0</v>
      </c>
      <c r="N48" s="265">
        <v>83</v>
      </c>
      <c r="O48" s="305">
        <f t="shared" si="5"/>
        <v>3.2582240716024181E-3</v>
      </c>
      <c r="P48" s="268">
        <v>25474</v>
      </c>
      <c r="Q48" s="223"/>
      <c r="R48" s="111"/>
      <c r="S48" s="171"/>
      <c r="T48" s="294">
        <v>2002</v>
      </c>
      <c r="U48" s="292"/>
    </row>
    <row r="49" spans="1:21">
      <c r="A49" s="210">
        <v>2003</v>
      </c>
      <c r="B49" s="111">
        <v>8702</v>
      </c>
      <c r="C49" s="303">
        <f t="shared" si="6"/>
        <v>0.33126498915070995</v>
      </c>
      <c r="D49" s="111">
        <v>17049</v>
      </c>
      <c r="E49" s="303">
        <f t="shared" si="8"/>
        <v>0.64901595035973958</v>
      </c>
      <c r="F49" s="111">
        <v>402.16399999999999</v>
      </c>
      <c r="G49" s="303">
        <f t="shared" si="9"/>
        <v>1.5309452206022308E-2</v>
      </c>
      <c r="H49" s="111">
        <v>25.468</v>
      </c>
      <c r="I49" s="304">
        <f t="shared" si="10"/>
        <v>9.6950778484144811E-4</v>
      </c>
      <c r="J49" s="263">
        <v>0</v>
      </c>
      <c r="K49" s="304">
        <f t="shared" si="7"/>
        <v>0</v>
      </c>
      <c r="L49" s="263">
        <v>0</v>
      </c>
      <c r="M49" s="304">
        <v>0</v>
      </c>
      <c r="N49" s="265">
        <v>91</v>
      </c>
      <c r="O49" s="305">
        <f t="shared" si="5"/>
        <v>3.46415927519129E-3</v>
      </c>
      <c r="P49" s="268">
        <v>26269</v>
      </c>
      <c r="Q49" s="223"/>
      <c r="R49" s="111"/>
      <c r="S49" s="171"/>
      <c r="T49" s="294">
        <v>2003</v>
      </c>
      <c r="U49" s="292"/>
    </row>
    <row r="50" spans="1:21">
      <c r="A50" s="210">
        <v>2004</v>
      </c>
      <c r="B50" s="111">
        <v>8856</v>
      </c>
      <c r="C50" s="303">
        <f t="shared" si="6"/>
        <v>0.33058344843032589</v>
      </c>
      <c r="D50" s="111">
        <v>17380</v>
      </c>
      <c r="E50" s="303">
        <f t="shared" si="8"/>
        <v>0.64877375041994845</v>
      </c>
      <c r="F50" s="111">
        <v>439.137</v>
      </c>
      <c r="G50" s="303">
        <f t="shared" si="9"/>
        <v>1.6392437194370824E-2</v>
      </c>
      <c r="H50" s="111">
        <v>27.952999999999999</v>
      </c>
      <c r="I50" s="304">
        <f t="shared" si="10"/>
        <v>1.0434506700511405E-3</v>
      </c>
      <c r="J50" s="263">
        <v>0</v>
      </c>
      <c r="K50" s="304">
        <f t="shared" si="7"/>
        <v>0</v>
      </c>
      <c r="L50" s="263">
        <v>0</v>
      </c>
      <c r="M50" s="304">
        <v>0</v>
      </c>
      <c r="N50" s="265">
        <v>85</v>
      </c>
      <c r="O50" s="305">
        <f t="shared" si="5"/>
        <v>3.1729441188547538E-3</v>
      </c>
      <c r="P50" s="268">
        <v>26789</v>
      </c>
      <c r="Q50" s="223"/>
      <c r="R50" s="111"/>
      <c r="S50" s="171"/>
      <c r="T50" s="294">
        <v>2004</v>
      </c>
      <c r="U50" s="292"/>
    </row>
    <row r="51" spans="1:21">
      <c r="A51" s="210">
        <v>2005</v>
      </c>
      <c r="B51" s="111">
        <v>9587</v>
      </c>
      <c r="C51" s="303">
        <f t="shared" si="6"/>
        <v>0.34314041304270015</v>
      </c>
      <c r="D51" s="111">
        <v>17823</v>
      </c>
      <c r="E51" s="303">
        <f t="shared" si="8"/>
        <v>0.63792548051111353</v>
      </c>
      <c r="F51" s="111">
        <v>414.87599999999998</v>
      </c>
      <c r="G51" s="303">
        <f t="shared" si="9"/>
        <v>1.4849350370449908E-2</v>
      </c>
      <c r="H51" s="111">
        <v>26.937999999999999</v>
      </c>
      <c r="I51" s="304">
        <f t="shared" si="10"/>
        <v>9.6417194602526929E-4</v>
      </c>
      <c r="J51" s="263">
        <v>0</v>
      </c>
      <c r="K51" s="304">
        <f t="shared" si="7"/>
        <v>0</v>
      </c>
      <c r="L51" s="263">
        <v>0</v>
      </c>
      <c r="M51" s="304">
        <v>0</v>
      </c>
      <c r="N51" s="265">
        <v>86</v>
      </c>
      <c r="O51" s="305">
        <f t="shared" si="5"/>
        <v>3.0781345073195177E-3</v>
      </c>
      <c r="P51" s="268">
        <v>27939</v>
      </c>
      <c r="Q51" s="223"/>
      <c r="R51" s="111"/>
      <c r="S51" s="171"/>
      <c r="T51" s="294">
        <v>2005</v>
      </c>
      <c r="U51" s="292"/>
    </row>
    <row r="52" spans="1:21">
      <c r="A52" s="210">
        <v>2006</v>
      </c>
      <c r="B52" s="111">
        <v>10130</v>
      </c>
      <c r="C52" s="303">
        <f t="shared" si="6"/>
        <v>0.35866024642401928</v>
      </c>
      <c r="D52" s="111">
        <v>17085</v>
      </c>
      <c r="E52" s="303">
        <f t="shared" si="8"/>
        <v>0.60490723693527826</v>
      </c>
      <c r="F52" s="111">
        <v>419.12400000000002</v>
      </c>
      <c r="G52" s="303">
        <f t="shared" si="9"/>
        <v>1.4839399518481802E-2</v>
      </c>
      <c r="H52" s="111">
        <v>67.58</v>
      </c>
      <c r="I52" s="304">
        <f t="shared" si="10"/>
        <v>2.3927205778218382E-3</v>
      </c>
      <c r="J52" s="111">
        <v>435.97</v>
      </c>
      <c r="K52" s="304">
        <f t="shared" si="7"/>
        <v>1.5435844781192467E-2</v>
      </c>
      <c r="L52" s="263">
        <v>0</v>
      </c>
      <c r="M52" s="304">
        <v>0</v>
      </c>
      <c r="N52" s="265">
        <v>106</v>
      </c>
      <c r="O52" s="305">
        <f t="shared" si="5"/>
        <v>3.7530094887409716E-3</v>
      </c>
      <c r="P52" s="268">
        <v>28244</v>
      </c>
      <c r="Q52" s="223"/>
      <c r="R52" s="111"/>
      <c r="S52" s="171"/>
      <c r="T52" s="294">
        <v>2006</v>
      </c>
      <c r="U52" s="292"/>
    </row>
    <row r="53" spans="1:21">
      <c r="A53" s="210">
        <v>2007</v>
      </c>
      <c r="B53" s="111">
        <v>9364.3359999999993</v>
      </c>
      <c r="C53" s="303">
        <f t="shared" si="6"/>
        <v>0.32367826898482593</v>
      </c>
      <c r="D53" s="111">
        <v>18356.775000000001</v>
      </c>
      <c r="E53" s="303">
        <f t="shared" si="8"/>
        <v>0.63450191835747127</v>
      </c>
      <c r="F53" s="111">
        <v>478.67700000000002</v>
      </c>
      <c r="G53" s="303">
        <f t="shared" si="9"/>
        <v>1.6545470256817948E-2</v>
      </c>
      <c r="H53" s="111">
        <v>105.974</v>
      </c>
      <c r="I53" s="304">
        <f t="shared" si="10"/>
        <v>3.6629912550551315E-3</v>
      </c>
      <c r="J53" s="111">
        <v>495.77600000000001</v>
      </c>
      <c r="K53" s="304">
        <f t="shared" si="7"/>
        <v>1.7136497182952543E-2</v>
      </c>
      <c r="L53" s="263">
        <v>0</v>
      </c>
      <c r="M53" s="304">
        <v>0</v>
      </c>
      <c r="N53" s="265">
        <v>130</v>
      </c>
      <c r="O53" s="305">
        <f t="shared" si="5"/>
        <v>4.4934499325982513E-3</v>
      </c>
      <c r="P53" s="268">
        <v>28931</v>
      </c>
      <c r="Q53" s="223"/>
      <c r="R53" s="111"/>
      <c r="S53" s="171"/>
      <c r="T53" s="294">
        <v>2007</v>
      </c>
      <c r="U53" s="292"/>
    </row>
    <row r="54" spans="1:21">
      <c r="A54" s="210">
        <v>2008</v>
      </c>
      <c r="B54" s="111">
        <v>9999.5570000000007</v>
      </c>
      <c r="C54" s="303">
        <f t="shared" si="6"/>
        <v>0.33740112022134494</v>
      </c>
      <c r="D54" s="111">
        <v>18331.531999999999</v>
      </c>
      <c r="E54" s="303">
        <f t="shared" si="8"/>
        <v>0.61853534433309709</v>
      </c>
      <c r="F54" s="111">
        <v>419.15</v>
      </c>
      <c r="G54" s="303">
        <f t="shared" si="9"/>
        <v>1.4142794479873131E-2</v>
      </c>
      <c r="H54" s="111">
        <v>65.659000000000006</v>
      </c>
      <c r="I54" s="304">
        <f t="shared" si="10"/>
        <v>2.2154401592603843E-3</v>
      </c>
      <c r="J54" s="111">
        <v>593.13800000000003</v>
      </c>
      <c r="K54" s="304">
        <f t="shared" si="7"/>
        <v>2.0013429159496575E-2</v>
      </c>
      <c r="L54" s="263">
        <v>0</v>
      </c>
      <c r="M54" s="304">
        <v>0</v>
      </c>
      <c r="N54" s="265">
        <v>228</v>
      </c>
      <c r="O54" s="305">
        <f t="shared" si="5"/>
        <v>7.6930863447717381E-3</v>
      </c>
      <c r="P54" s="268">
        <v>29637</v>
      </c>
      <c r="Q54" s="223"/>
      <c r="R54" s="111"/>
      <c r="S54" s="171"/>
      <c r="T54" s="294">
        <v>2008</v>
      </c>
      <c r="U54" s="292"/>
    </row>
    <row r="55" spans="1:21">
      <c r="A55" s="210">
        <v>2009</v>
      </c>
      <c r="B55" s="111">
        <v>9505.94</v>
      </c>
      <c r="C55" s="303">
        <f t="shared" si="6"/>
        <v>0.35585445288810691</v>
      </c>
      <c r="D55" s="111">
        <v>15611.279</v>
      </c>
      <c r="E55" s="303">
        <f t="shared" si="8"/>
        <v>0.58440755437427472</v>
      </c>
      <c r="F55" s="111">
        <v>490.43299999999999</v>
      </c>
      <c r="G55" s="303">
        <f t="shared" si="9"/>
        <v>1.8359338149964436E-2</v>
      </c>
      <c r="H55" s="111">
        <v>77.762</v>
      </c>
      <c r="I55" s="304">
        <f t="shared" si="10"/>
        <v>2.9110171077752407E-3</v>
      </c>
      <c r="J55" s="111">
        <v>820.92399999999998</v>
      </c>
      <c r="K55" s="304">
        <f t="shared" si="7"/>
        <v>3.0731254445401115E-2</v>
      </c>
      <c r="L55" s="263">
        <v>0</v>
      </c>
      <c r="M55" s="304">
        <v>0</v>
      </c>
      <c r="N55" s="265">
        <v>206</v>
      </c>
      <c r="O55" s="305">
        <f t="shared" si="5"/>
        <v>7.7116010931007374E-3</v>
      </c>
      <c r="P55" s="268">
        <v>26713</v>
      </c>
      <c r="Q55" s="223"/>
      <c r="R55" s="111"/>
      <c r="S55" s="171"/>
      <c r="T55" s="294">
        <v>2009</v>
      </c>
      <c r="U55" s="292"/>
    </row>
    <row r="56" spans="1:21">
      <c r="A56" s="210">
        <v>2010</v>
      </c>
      <c r="B56" s="111">
        <v>9414.6620000000003</v>
      </c>
      <c r="C56" s="303">
        <f t="shared" si="6"/>
        <v>0.31602369843241246</v>
      </c>
      <c r="D56" s="111">
        <v>18600.633999999998</v>
      </c>
      <c r="E56" s="303">
        <f t="shared" si="8"/>
        <v>0.62437091739115835</v>
      </c>
      <c r="F56" s="111">
        <v>408.50099999999998</v>
      </c>
      <c r="G56" s="303">
        <f t="shared" si="9"/>
        <v>1.3712228525393574E-2</v>
      </c>
      <c r="H56" s="111">
        <v>57.112000000000002</v>
      </c>
      <c r="I56" s="304">
        <f t="shared" si="10"/>
        <v>1.9170890537410629E-3</v>
      </c>
      <c r="J56" s="111">
        <v>930.23299999999995</v>
      </c>
      <c r="K56" s="304">
        <f t="shared" si="7"/>
        <v>3.1225302943842098E-2</v>
      </c>
      <c r="L56" s="263">
        <v>0</v>
      </c>
      <c r="M56" s="304">
        <v>0</v>
      </c>
      <c r="N56" s="265">
        <v>380</v>
      </c>
      <c r="O56" s="305">
        <f t="shared" si="5"/>
        <v>1.2755530193682656E-2</v>
      </c>
      <c r="P56" s="268">
        <v>29791</v>
      </c>
      <c r="Q56" s="223"/>
      <c r="R56" s="111"/>
      <c r="S56" s="171"/>
      <c r="T56" s="294">
        <v>2010</v>
      </c>
      <c r="U56" s="292"/>
    </row>
    <row r="57" spans="1:21">
      <c r="A57" s="222">
        <v>2011</v>
      </c>
      <c r="B57" s="300">
        <v>12596</v>
      </c>
      <c r="C57" s="303">
        <f t="shared" si="6"/>
        <v>0.41806897009525706</v>
      </c>
      <c r="D57" s="111">
        <v>15056</v>
      </c>
      <c r="E57" s="303">
        <f t="shared" si="8"/>
        <v>0.49971787978359722</v>
      </c>
      <c r="F57" s="111">
        <v>461</v>
      </c>
      <c r="G57" s="303">
        <f t="shared" si="9"/>
        <v>1.5300872913140164E-2</v>
      </c>
      <c r="H57" s="111">
        <v>418</v>
      </c>
      <c r="I57" s="304">
        <f t="shared" si="10"/>
        <v>1.3873676524278934E-2</v>
      </c>
      <c r="J57" s="111">
        <v>1166</v>
      </c>
      <c r="K57" s="304">
        <f t="shared" si="7"/>
        <v>3.8700255567725446E-2</v>
      </c>
      <c r="L57" s="263">
        <v>0</v>
      </c>
      <c r="M57" s="304">
        <v>0</v>
      </c>
      <c r="N57" s="265">
        <v>333</v>
      </c>
      <c r="O57" s="305">
        <f t="shared" si="5"/>
        <v>1.1052474360250921E-2</v>
      </c>
      <c r="P57" s="269">
        <v>30129</v>
      </c>
      <c r="Q57" s="223"/>
      <c r="R57" s="111"/>
      <c r="S57" s="171"/>
      <c r="T57" s="294">
        <v>2011</v>
      </c>
      <c r="U57" s="292"/>
    </row>
    <row r="58" spans="1:21">
      <c r="A58" s="222">
        <v>2012</v>
      </c>
      <c r="B58" s="300">
        <v>11283</v>
      </c>
      <c r="C58" s="303">
        <f t="shared" si="6"/>
        <v>0.40579032548102861</v>
      </c>
      <c r="D58" s="111">
        <v>13987</v>
      </c>
      <c r="E58" s="303">
        <f t="shared" si="8"/>
        <v>0.50303902175867654</v>
      </c>
      <c r="F58" s="111">
        <v>467</v>
      </c>
      <c r="G58" s="303">
        <f t="shared" si="9"/>
        <v>1.679554037043697E-2</v>
      </c>
      <c r="H58" s="111">
        <v>464</v>
      </c>
      <c r="I58" s="304">
        <f t="shared" si="10"/>
        <v>1.6687646106815321E-2</v>
      </c>
      <c r="J58" s="111">
        <v>1262</v>
      </c>
      <c r="K58" s="304">
        <f t="shared" si="7"/>
        <v>4.5387520230174429E-2</v>
      </c>
      <c r="L58" s="263">
        <v>0</v>
      </c>
      <c r="M58" s="304">
        <v>0</v>
      </c>
      <c r="N58" s="265">
        <v>341</v>
      </c>
      <c r="O58" s="305">
        <f t="shared" si="5"/>
        <v>1.2263981298327639E-2</v>
      </c>
      <c r="P58" s="269">
        <v>27805</v>
      </c>
      <c r="Q58" s="223"/>
      <c r="R58" s="111"/>
      <c r="S58" s="171"/>
      <c r="T58" s="294">
        <v>2012</v>
      </c>
      <c r="U58" s="292"/>
    </row>
    <row r="59" spans="1:21">
      <c r="A59" s="222">
        <v>2013</v>
      </c>
      <c r="B59" s="300">
        <v>9638</v>
      </c>
      <c r="C59" s="303">
        <f t="shared" si="6"/>
        <v>0.34810560913063893</v>
      </c>
      <c r="D59" s="111">
        <v>14880</v>
      </c>
      <c r="E59" s="303">
        <f t="shared" si="8"/>
        <v>0.53743634196554335</v>
      </c>
      <c r="F59" s="111">
        <v>462</v>
      </c>
      <c r="G59" s="303">
        <f t="shared" si="9"/>
        <v>1.6686531585220502E-2</v>
      </c>
      <c r="H59" s="111">
        <v>614</v>
      </c>
      <c r="I59" s="304">
        <f t="shared" si="10"/>
        <v>2.2176472712825513E-2</v>
      </c>
      <c r="J59" s="111">
        <v>1755</v>
      </c>
      <c r="K59" s="304">
        <f t="shared" si="7"/>
        <v>6.3387149203597351E-2</v>
      </c>
      <c r="L59" s="263">
        <v>0</v>
      </c>
      <c r="M59" s="304">
        <v>0</v>
      </c>
      <c r="N59" s="265">
        <v>338</v>
      </c>
      <c r="O59" s="305">
        <f t="shared" si="5"/>
        <v>1.2207895402174306E-2</v>
      </c>
      <c r="P59" s="269">
        <v>27687</v>
      </c>
      <c r="Q59" s="223"/>
      <c r="R59" s="111"/>
      <c r="S59" s="171"/>
      <c r="T59" s="294">
        <v>2013</v>
      </c>
      <c r="U59" s="292"/>
    </row>
    <row r="60" spans="1:21">
      <c r="A60" s="210">
        <v>2014</v>
      </c>
      <c r="B60" s="111">
        <v>11483</v>
      </c>
      <c r="C60" s="303">
        <f t="shared" si="6"/>
        <v>0.37950294137087714</v>
      </c>
      <c r="D60" s="111">
        <v>15579</v>
      </c>
      <c r="E60" s="303">
        <f t="shared" si="8"/>
        <v>0.51487209994051164</v>
      </c>
      <c r="F60" s="111">
        <v>428</v>
      </c>
      <c r="G60" s="303">
        <f t="shared" si="9"/>
        <v>1.4145019498975477E-2</v>
      </c>
      <c r="H60" s="111">
        <v>515</v>
      </c>
      <c r="I60" s="304">
        <f t="shared" si="10"/>
        <v>1.7020292154141053E-2</v>
      </c>
      <c r="J60" s="111">
        <v>1974</v>
      </c>
      <c r="K60" s="304">
        <f t="shared" si="7"/>
        <v>6.5238945072377555E-2</v>
      </c>
      <c r="L60" s="263">
        <v>0</v>
      </c>
      <c r="M60" s="304">
        <v>0</v>
      </c>
      <c r="N60" s="265">
        <v>278</v>
      </c>
      <c r="O60" s="305">
        <f t="shared" si="5"/>
        <v>9.1876528521382776E-3</v>
      </c>
      <c r="P60" s="269">
        <v>30258</v>
      </c>
      <c r="Q60" s="223"/>
      <c r="R60" s="111"/>
      <c r="S60" s="171"/>
      <c r="T60" s="294">
        <v>2014</v>
      </c>
      <c r="U60" s="292"/>
    </row>
    <row r="61" spans="1:21">
      <c r="A61" s="210">
        <v>2015</v>
      </c>
      <c r="B61" s="111">
        <v>9888</v>
      </c>
      <c r="C61" s="303">
        <f t="shared" si="6"/>
        <v>0.33745136850726914</v>
      </c>
      <c r="D61" s="111">
        <v>16013</v>
      </c>
      <c r="E61" s="303">
        <f t="shared" si="8"/>
        <v>0.54648146884171733</v>
      </c>
      <c r="F61" s="111">
        <v>496</v>
      </c>
      <c r="G61" s="303">
        <f t="shared" si="9"/>
        <v>1.6927172206675313E-2</v>
      </c>
      <c r="H61" s="111">
        <v>599</v>
      </c>
      <c r="I61" s="304">
        <f t="shared" si="10"/>
        <v>2.0442290628626032E-2</v>
      </c>
      <c r="J61" s="111">
        <v>1965</v>
      </c>
      <c r="K61" s="304">
        <f t="shared" si="7"/>
        <v>6.7060268923622962E-2</v>
      </c>
      <c r="L61" s="263">
        <v>0</v>
      </c>
      <c r="M61" s="304">
        <v>0</v>
      </c>
      <c r="N61" s="265">
        <v>341</v>
      </c>
      <c r="O61" s="305">
        <f t="shared" si="5"/>
        <v>1.1637430892089276E-2</v>
      </c>
      <c r="P61" s="269">
        <v>29302</v>
      </c>
      <c r="Q61" s="223"/>
      <c r="R61" s="111"/>
      <c r="S61" s="171"/>
      <c r="T61" s="294">
        <v>2015</v>
      </c>
      <c r="U61" s="292"/>
    </row>
    <row r="62" spans="1:21">
      <c r="A62" s="209">
        <v>2016</v>
      </c>
      <c r="B62" s="263">
        <v>10083</v>
      </c>
      <c r="C62" s="303">
        <f t="shared" si="6"/>
        <v>0.36290670889720705</v>
      </c>
      <c r="D62" s="263">
        <v>14269</v>
      </c>
      <c r="E62" s="303">
        <f t="shared" si="8"/>
        <v>0.51356896055283618</v>
      </c>
      <c r="F62" s="264">
        <v>460</v>
      </c>
      <c r="G62" s="303">
        <f t="shared" si="9"/>
        <v>1.6556291390728478E-2</v>
      </c>
      <c r="H62" s="264">
        <v>476</v>
      </c>
      <c r="I62" s="304">
        <f t="shared" si="10"/>
        <v>1.7132162395623381E-2</v>
      </c>
      <c r="J62" s="263">
        <v>2140</v>
      </c>
      <c r="K62" s="304">
        <f t="shared" si="7"/>
        <v>7.7022746904693351E-2</v>
      </c>
      <c r="L62" s="265">
        <v>8</v>
      </c>
      <c r="M62" s="304">
        <f t="shared" ref="M62:M69" si="11">L62/P62</f>
        <v>2.8793550244745177E-4</v>
      </c>
      <c r="N62" s="265">
        <v>356</v>
      </c>
      <c r="O62" s="305">
        <f t="shared" ref="O62:O69" si="12">N62/P62</f>
        <v>1.2813129858911605E-2</v>
      </c>
      <c r="P62" s="299">
        <v>27784</v>
      </c>
      <c r="Q62" s="223"/>
      <c r="R62" s="263"/>
      <c r="S62" s="171"/>
      <c r="T62" s="293">
        <v>2016</v>
      </c>
      <c r="U62" s="292"/>
    </row>
    <row r="63" spans="1:21">
      <c r="A63" s="209">
        <v>2017</v>
      </c>
      <c r="B63" s="263">
        <v>10946</v>
      </c>
      <c r="C63" s="303">
        <f t="shared" si="6"/>
        <v>0.38786719109882711</v>
      </c>
      <c r="D63" s="263">
        <v>13864</v>
      </c>
      <c r="E63" s="303">
        <f t="shared" si="8"/>
        <v>0.49126536976010771</v>
      </c>
      <c r="F63" s="264">
        <v>459</v>
      </c>
      <c r="G63" s="303">
        <f t="shared" si="9"/>
        <v>1.6264483894971829E-2</v>
      </c>
      <c r="H63" s="264">
        <v>417</v>
      </c>
      <c r="I63" s="304">
        <f t="shared" si="10"/>
        <v>1.4776230466673753E-2</v>
      </c>
      <c r="J63" s="263">
        <v>2155</v>
      </c>
      <c r="K63" s="304">
        <f t="shared" si="7"/>
        <v>7.6361574713865565E-2</v>
      </c>
      <c r="L63" s="265">
        <v>14</v>
      </c>
      <c r="M63" s="304">
        <f t="shared" si="11"/>
        <v>4.9608447609935866E-4</v>
      </c>
      <c r="N63" s="265">
        <v>367</v>
      </c>
      <c r="O63" s="305">
        <f t="shared" si="12"/>
        <v>1.300450019489033E-2</v>
      </c>
      <c r="P63" s="299">
        <v>28221</v>
      </c>
      <c r="Q63" s="223"/>
      <c r="R63" s="263"/>
      <c r="S63" s="171"/>
      <c r="T63" s="293"/>
      <c r="U63" s="292"/>
    </row>
    <row r="64" spans="1:21">
      <c r="A64" s="210">
        <v>2018</v>
      </c>
      <c r="B64" s="34">
        <v>11405</v>
      </c>
      <c r="C64" s="303">
        <f t="shared" si="6"/>
        <v>0.40450434474197555</v>
      </c>
      <c r="D64" s="34">
        <v>13360</v>
      </c>
      <c r="E64" s="303">
        <f t="shared" si="8"/>
        <v>0.47384287994325236</v>
      </c>
      <c r="F64" s="111">
        <v>446</v>
      </c>
      <c r="G64" s="303">
        <f t="shared" si="9"/>
        <v>1.5818407519063663E-2</v>
      </c>
      <c r="H64" s="34">
        <v>476</v>
      </c>
      <c r="I64" s="304">
        <f t="shared" si="10"/>
        <v>1.6882425962050009E-2</v>
      </c>
      <c r="J64" s="34">
        <v>2153</v>
      </c>
      <c r="K64" s="304">
        <f t="shared" si="7"/>
        <v>7.6361056924986695E-2</v>
      </c>
      <c r="L64" s="43">
        <v>34</v>
      </c>
      <c r="M64" s="304">
        <f t="shared" si="11"/>
        <v>1.2058875687178579E-3</v>
      </c>
      <c r="N64" s="34">
        <v>326</v>
      </c>
      <c r="O64" s="305">
        <f t="shared" si="12"/>
        <v>1.1562333747118283E-2</v>
      </c>
      <c r="P64" s="269">
        <v>28195</v>
      </c>
    </row>
    <row r="65" spans="1:16">
      <c r="A65" s="210">
        <v>2019</v>
      </c>
      <c r="B65" s="34">
        <v>10005</v>
      </c>
      <c r="C65" s="303">
        <f t="shared" si="6"/>
        <v>0.35993092779796382</v>
      </c>
      <c r="D65" s="34">
        <v>14101</v>
      </c>
      <c r="E65" s="303">
        <f t="shared" si="8"/>
        <v>0.50728495880850455</v>
      </c>
      <c r="F65" s="111">
        <v>465</v>
      </c>
      <c r="G65" s="303">
        <f t="shared" si="9"/>
        <v>1.6728423930639998E-2</v>
      </c>
      <c r="H65" s="34">
        <v>507</v>
      </c>
      <c r="I65" s="304">
        <f t="shared" si="10"/>
        <v>1.8239378350181676E-2</v>
      </c>
      <c r="J65" s="34">
        <v>2373</v>
      </c>
      <c r="K65" s="304">
        <f t="shared" si="7"/>
        <v>8.5368924704104759E-2</v>
      </c>
      <c r="L65" s="43">
        <v>29</v>
      </c>
      <c r="M65" s="304">
        <f t="shared" si="11"/>
        <v>1.0432780515883008E-3</v>
      </c>
      <c r="N65" s="34">
        <v>287</v>
      </c>
      <c r="O65" s="304">
        <f t="shared" si="12"/>
        <v>1.032485520020146E-2</v>
      </c>
      <c r="P65" s="269">
        <v>27797</v>
      </c>
    </row>
    <row r="66" spans="1:16">
      <c r="A66" s="210">
        <v>2020</v>
      </c>
      <c r="B66" s="34">
        <v>10748</v>
      </c>
      <c r="C66" s="303">
        <f t="shared" si="6"/>
        <v>0.46024065430565664</v>
      </c>
      <c r="D66" s="34">
        <v>8490</v>
      </c>
      <c r="E66" s="303">
        <f t="shared" si="8"/>
        <v>0.36355072153470647</v>
      </c>
      <c r="F66" s="111">
        <v>457</v>
      </c>
      <c r="G66" s="303">
        <f t="shared" si="9"/>
        <v>1.9569220228664412E-2</v>
      </c>
      <c r="H66" s="34">
        <v>291</v>
      </c>
      <c r="I66" s="304">
        <f t="shared" si="10"/>
        <v>1.2460925791118915E-2</v>
      </c>
      <c r="J66" s="34">
        <v>3059</v>
      </c>
      <c r="K66" s="304">
        <f t="shared" si="7"/>
        <v>0.13098959448464864</v>
      </c>
      <c r="L66" s="43">
        <v>33</v>
      </c>
      <c r="M66" s="304">
        <f t="shared" si="11"/>
        <v>1.4130946773433821E-3</v>
      </c>
      <c r="N66" s="34">
        <v>276</v>
      </c>
      <c r="O66" s="304">
        <f t="shared" si="12"/>
        <v>1.1818610028690104E-2</v>
      </c>
      <c r="P66" s="269">
        <v>23353</v>
      </c>
    </row>
    <row r="67" spans="1:16">
      <c r="A67" s="222">
        <v>2021</v>
      </c>
      <c r="B67" s="34">
        <v>9258</v>
      </c>
      <c r="C67" s="303">
        <f t="shared" si="6"/>
        <v>0.37109187109187108</v>
      </c>
      <c r="D67" s="34">
        <v>10876</v>
      </c>
      <c r="E67" s="303">
        <f t="shared" si="8"/>
        <v>0.43594676928010262</v>
      </c>
      <c r="F67" s="111">
        <v>451</v>
      </c>
      <c r="G67" s="303">
        <f t="shared" si="9"/>
        <v>1.8077601410934743E-2</v>
      </c>
      <c r="H67" s="34">
        <v>528</v>
      </c>
      <c r="I67" s="304">
        <f t="shared" si="10"/>
        <v>2.1164021164021163E-2</v>
      </c>
      <c r="J67" s="34">
        <v>3473</v>
      </c>
      <c r="K67" s="304">
        <f t="shared" si="7"/>
        <v>0.13920955587622255</v>
      </c>
      <c r="L67" s="43">
        <v>33</v>
      </c>
      <c r="M67" s="304">
        <f t="shared" si="11"/>
        <v>1.3227513227513227E-3</v>
      </c>
      <c r="N67" s="34">
        <v>328</v>
      </c>
      <c r="O67" s="304">
        <f t="shared" si="12"/>
        <v>1.3147346480679814E-2</v>
      </c>
      <c r="P67" s="269">
        <v>24948</v>
      </c>
    </row>
    <row r="68" spans="1:16">
      <c r="A68" s="222">
        <v>2022</v>
      </c>
      <c r="B68" s="34">
        <v>9886</v>
      </c>
      <c r="C68" s="303">
        <f t="shared" si="6"/>
        <v>0.3649451807006534</v>
      </c>
      <c r="D68" s="34">
        <v>11651</v>
      </c>
      <c r="E68" s="303">
        <f t="shared" si="8"/>
        <v>0.43010077891395032</v>
      </c>
      <c r="F68" s="111">
        <v>465</v>
      </c>
      <c r="G68" s="303">
        <f t="shared" si="9"/>
        <v>1.7165639189338847E-2</v>
      </c>
      <c r="H68" s="34">
        <v>729</v>
      </c>
      <c r="I68" s="304">
        <f t="shared" si="10"/>
        <v>2.6911292406511869E-2</v>
      </c>
      <c r="J68" s="34">
        <v>4022</v>
      </c>
      <c r="K68" s="304">
        <f t="shared" si="7"/>
        <v>0.14847355014950717</v>
      </c>
      <c r="L68" s="43">
        <v>32</v>
      </c>
      <c r="M68" s="304">
        <f t="shared" si="11"/>
        <v>1.1812912990512754E-3</v>
      </c>
      <c r="N68" s="34">
        <v>286</v>
      </c>
      <c r="O68" s="304">
        <f t="shared" si="12"/>
        <v>1.0557790985270774E-2</v>
      </c>
      <c r="P68" s="269">
        <v>27089</v>
      </c>
    </row>
    <row r="69" spans="1:16">
      <c r="A69" s="222">
        <v>2023</v>
      </c>
      <c r="B69" s="34">
        <v>8792</v>
      </c>
      <c r="C69" s="303">
        <f t="shared" si="6"/>
        <v>0.32688875669244499</v>
      </c>
      <c r="D69" s="34">
        <v>11553</v>
      </c>
      <c r="E69" s="303">
        <f t="shared" si="8"/>
        <v>0.42954342653182631</v>
      </c>
      <c r="F69" s="111">
        <v>491</v>
      </c>
      <c r="G69" s="303">
        <f t="shared" si="9"/>
        <v>1.8255502676977991E-2</v>
      </c>
      <c r="H69" s="34">
        <v>1002</v>
      </c>
      <c r="I69" s="304">
        <f t="shared" si="10"/>
        <v>3.7254610350981557E-2</v>
      </c>
      <c r="J69" s="34">
        <v>4557</v>
      </c>
      <c r="K69" s="304">
        <f t="shared" si="7"/>
        <v>0.1694303985722784</v>
      </c>
      <c r="L69" s="43">
        <v>240</v>
      </c>
      <c r="M69" s="304">
        <f t="shared" si="11"/>
        <v>8.92325996430696E-3</v>
      </c>
      <c r="N69" s="34">
        <v>355</v>
      </c>
      <c r="O69" s="304">
        <f t="shared" si="12"/>
        <v>1.3198988697204045E-2</v>
      </c>
      <c r="P69" s="269">
        <v>26896</v>
      </c>
    </row>
    <row r="70" spans="1:16">
      <c r="A70" s="42" t="s">
        <v>28</v>
      </c>
      <c r="C70" s="38"/>
      <c r="D70" s="38" t="s">
        <v>11</v>
      </c>
      <c r="E70" s="38"/>
      <c r="F70" s="38"/>
      <c r="H70" s="38"/>
      <c r="I70" s="39"/>
      <c r="J70" s="39"/>
      <c r="K70" s="39"/>
      <c r="L70" s="40"/>
      <c r="M70" s="34"/>
      <c r="N70" s="34"/>
      <c r="O70" s="34"/>
    </row>
    <row r="71" spans="1:16">
      <c r="A71" s="38" t="s">
        <v>340</v>
      </c>
      <c r="C71" s="38"/>
      <c r="D71" s="38"/>
      <c r="E71" s="38"/>
      <c r="F71" s="38"/>
      <c r="G71" s="38"/>
      <c r="H71" s="38"/>
      <c r="I71" s="39"/>
      <c r="J71" s="39"/>
      <c r="K71" s="39"/>
      <c r="L71" s="40"/>
      <c r="M71" s="34"/>
      <c r="N71" s="34"/>
      <c r="O71" s="34"/>
    </row>
    <row r="72" spans="1:16">
      <c r="A72" s="36"/>
      <c r="B72" s="38"/>
      <c r="C72" s="38"/>
      <c r="D72" s="38"/>
      <c r="E72" s="38"/>
      <c r="F72" s="38"/>
      <c r="G72" s="39"/>
      <c r="H72" s="38"/>
      <c r="I72" s="39"/>
      <c r="J72" s="39"/>
      <c r="K72" s="39"/>
      <c r="L72" s="41"/>
      <c r="M72" s="36"/>
      <c r="N72" s="36"/>
      <c r="O72" s="36"/>
    </row>
    <row r="73" spans="1:16" ht="51" customHeight="1">
      <c r="A73" s="519" t="s">
        <v>375</v>
      </c>
      <c r="B73" s="520"/>
      <c r="C73" s="520"/>
      <c r="D73" s="520"/>
      <c r="E73" s="520"/>
      <c r="F73" s="520"/>
      <c r="G73" s="520"/>
      <c r="H73" s="520"/>
      <c r="I73" s="520"/>
      <c r="J73" s="520"/>
      <c r="K73" s="520"/>
      <c r="L73" s="520"/>
      <c r="M73" s="521"/>
      <c r="N73" s="323"/>
      <c r="O73" s="323"/>
    </row>
    <row r="74" spans="1:16" ht="42" customHeight="1">
      <c r="A74" s="523" t="s">
        <v>438</v>
      </c>
      <c r="B74" s="525"/>
      <c r="C74" s="525"/>
      <c r="D74" s="525"/>
      <c r="E74" s="525"/>
      <c r="F74" s="525"/>
      <c r="G74" s="525"/>
      <c r="H74" s="525"/>
      <c r="I74" s="525"/>
      <c r="J74" s="525"/>
      <c r="K74" s="525"/>
      <c r="L74" s="525"/>
      <c r="M74" s="525"/>
      <c r="N74" s="324"/>
      <c r="O74" s="324"/>
    </row>
    <row r="75" spans="1:16" ht="13.9" customHeight="1">
      <c r="A75" s="37" t="s">
        <v>29</v>
      </c>
      <c r="B75" s="38"/>
      <c r="C75" s="38"/>
      <c r="D75" s="38"/>
      <c r="E75" s="38"/>
      <c r="F75" s="38"/>
      <c r="G75" s="39"/>
      <c r="H75" s="38"/>
      <c r="I75" s="39"/>
      <c r="J75" s="39"/>
      <c r="K75" s="39"/>
      <c r="L75" s="35"/>
      <c r="M75" s="36"/>
      <c r="N75" s="36"/>
      <c r="O75" s="36"/>
    </row>
    <row r="76" spans="1:16" ht="25.9" customHeight="1">
      <c r="A76" s="523" t="s">
        <v>239</v>
      </c>
      <c r="B76" s="524"/>
      <c r="C76" s="524"/>
      <c r="D76" s="524"/>
      <c r="E76" s="524"/>
      <c r="F76" s="524"/>
      <c r="G76" s="524"/>
      <c r="H76" s="524"/>
      <c r="I76" s="524"/>
      <c r="J76" s="524"/>
      <c r="K76" s="524"/>
      <c r="L76" s="524"/>
      <c r="M76" s="524"/>
      <c r="N76" s="35"/>
      <c r="O76" s="35"/>
    </row>
    <row r="77" spans="1:16" ht="17.45" customHeight="1">
      <c r="A77" s="519" t="s">
        <v>479</v>
      </c>
      <c r="B77" s="519"/>
      <c r="C77" s="519"/>
      <c r="D77" s="519"/>
      <c r="E77" s="519"/>
      <c r="F77" s="519"/>
      <c r="G77" s="519"/>
      <c r="H77" s="519"/>
      <c r="I77" s="519"/>
      <c r="J77" s="519"/>
      <c r="K77" s="519"/>
      <c r="L77" s="519"/>
      <c r="M77" s="519"/>
      <c r="N77" s="322"/>
      <c r="O77" s="322"/>
      <c r="P77" s="302"/>
    </row>
    <row r="78" spans="1:16" ht="14.25" customHeight="1">
      <c r="A78" s="519"/>
      <c r="B78" s="519"/>
      <c r="C78" s="519"/>
      <c r="D78" s="519"/>
      <c r="E78" s="519"/>
      <c r="F78" s="519"/>
      <c r="G78" s="519"/>
      <c r="H78" s="519"/>
      <c r="I78" s="519"/>
      <c r="J78" s="519"/>
      <c r="K78" s="519"/>
      <c r="L78" s="519"/>
      <c r="M78" s="519"/>
      <c r="N78" s="322"/>
      <c r="O78" s="322"/>
      <c r="P78" s="301"/>
    </row>
    <row r="79" spans="1:16" ht="14.45" customHeight="1">
      <c r="A79" s="517" t="s">
        <v>439</v>
      </c>
      <c r="B79" s="517"/>
      <c r="C79" s="517"/>
      <c r="D79" s="517"/>
      <c r="E79" s="517"/>
      <c r="F79" s="517"/>
      <c r="G79" s="517"/>
      <c r="H79" s="517"/>
      <c r="I79" s="517"/>
      <c r="J79" s="517"/>
      <c r="K79" s="517"/>
      <c r="L79" s="517"/>
      <c r="M79" s="517"/>
      <c r="N79" s="322"/>
      <c r="O79" s="322"/>
      <c r="P79" s="301"/>
    </row>
    <row r="80" spans="1:16" ht="63" customHeight="1">
      <c r="A80" s="517"/>
      <c r="B80" s="517"/>
      <c r="C80" s="517"/>
      <c r="D80" s="517"/>
      <c r="E80" s="517"/>
      <c r="F80" s="517"/>
      <c r="G80" s="517"/>
      <c r="H80" s="517"/>
      <c r="I80" s="517"/>
      <c r="J80" s="517"/>
      <c r="K80" s="517"/>
      <c r="L80" s="517"/>
      <c r="M80" s="517"/>
      <c r="N80" s="322"/>
      <c r="O80" s="322"/>
      <c r="P80" s="301"/>
    </row>
    <row r="81" spans="1:16" ht="14.45" customHeight="1">
      <c r="A81" s="322"/>
      <c r="B81" s="322"/>
      <c r="C81" s="322"/>
      <c r="D81" s="322"/>
      <c r="E81" s="322"/>
      <c r="F81" s="322"/>
      <c r="G81" s="322"/>
      <c r="H81" s="322"/>
      <c r="I81" s="322"/>
      <c r="J81" s="322"/>
      <c r="K81" s="322"/>
      <c r="L81" s="322"/>
      <c r="M81" s="322"/>
      <c r="N81" s="322"/>
      <c r="O81" s="322"/>
      <c r="P81" s="301"/>
    </row>
    <row r="82" spans="1:16" ht="14.45" customHeight="1">
      <c r="A82" s="322"/>
      <c r="B82" s="322"/>
      <c r="C82" s="322"/>
      <c r="D82" s="322"/>
      <c r="E82" s="322"/>
      <c r="F82" s="322"/>
      <c r="G82" s="322"/>
      <c r="H82" s="322"/>
      <c r="I82" s="322"/>
      <c r="J82" s="322"/>
      <c r="K82" s="322"/>
      <c r="L82" s="322"/>
      <c r="M82" s="322"/>
      <c r="N82" s="322"/>
      <c r="O82" s="322"/>
      <c r="P82" s="301"/>
    </row>
    <row r="83" spans="1:16" ht="73.900000000000006" customHeight="1">
      <c r="A83" s="518" t="s">
        <v>478</v>
      </c>
      <c r="B83" s="518"/>
      <c r="C83" s="518"/>
      <c r="D83" s="518"/>
      <c r="E83" s="518"/>
      <c r="F83" s="518"/>
      <c r="G83" s="518"/>
      <c r="H83" s="518"/>
      <c r="I83" s="518"/>
      <c r="J83" s="518"/>
      <c r="K83" s="518"/>
      <c r="L83" s="518"/>
      <c r="M83" s="518"/>
      <c r="N83" s="35"/>
      <c r="O83" s="35"/>
    </row>
    <row r="106" spans="2:7">
      <c r="C106" t="s">
        <v>258</v>
      </c>
    </row>
    <row r="107" spans="2:7">
      <c r="B107" s="249">
        <v>2015</v>
      </c>
      <c r="C107" s="250" t="s">
        <v>231</v>
      </c>
      <c r="D107" s="250" t="s">
        <v>232</v>
      </c>
      <c r="E107" s="250" t="s">
        <v>132</v>
      </c>
      <c r="F107" s="250" t="s">
        <v>137</v>
      </c>
      <c r="G107" s="250" t="s">
        <v>247</v>
      </c>
    </row>
    <row r="108" spans="2:7">
      <c r="C108" s="34">
        <v>16013</v>
      </c>
      <c r="D108" s="34">
        <v>9888</v>
      </c>
      <c r="E108" s="34">
        <v>599</v>
      </c>
      <c r="F108" s="34">
        <v>1965</v>
      </c>
      <c r="G108" s="111">
        <v>496</v>
      </c>
    </row>
  </sheetData>
  <mergeCells count="13">
    <mergeCell ref="N3:O3"/>
    <mergeCell ref="A79:M80"/>
    <mergeCell ref="A83:M83"/>
    <mergeCell ref="A73:M73"/>
    <mergeCell ref="D3:E3"/>
    <mergeCell ref="B3:C3"/>
    <mergeCell ref="F3:G3"/>
    <mergeCell ref="H3:I3"/>
    <mergeCell ref="A76:M76"/>
    <mergeCell ref="J3:K3"/>
    <mergeCell ref="A74:M74"/>
    <mergeCell ref="L3:M3"/>
    <mergeCell ref="A77:M7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5"/>
  <sheetViews>
    <sheetView zoomScale="75" zoomScaleNormal="75" workbookViewId="0"/>
  </sheetViews>
  <sheetFormatPr defaultRowHeight="15"/>
  <cols>
    <col min="2" max="2" width="12" customWidth="1"/>
    <col min="3" max="3" width="12.7109375" customWidth="1"/>
    <col min="4" max="4" width="10.140625" customWidth="1"/>
    <col min="8" max="8" width="9.140625" bestFit="1" customWidth="1"/>
  </cols>
  <sheetData>
    <row r="1" spans="1:11" ht="18">
      <c r="A1" s="33" t="s">
        <v>611</v>
      </c>
      <c r="B1" s="45"/>
      <c r="C1" s="45"/>
      <c r="D1" s="46"/>
      <c r="E1" s="46"/>
      <c r="F1" s="46"/>
      <c r="G1" s="46"/>
      <c r="H1" s="46"/>
      <c r="I1" s="46"/>
      <c r="J1" s="46"/>
      <c r="K1" s="46"/>
    </row>
    <row r="2" spans="1:11">
      <c r="A2" s="44"/>
      <c r="B2" s="44"/>
      <c r="C2" s="44"/>
      <c r="D2" s="44"/>
      <c r="E2" s="44"/>
      <c r="F2" s="44"/>
      <c r="G2" s="44"/>
      <c r="H2" s="44"/>
      <c r="I2" s="44"/>
      <c r="J2" s="44"/>
      <c r="K2" s="44"/>
    </row>
    <row r="3" spans="1:11">
      <c r="A3" s="44"/>
      <c r="B3" s="526" t="s">
        <v>14</v>
      </c>
      <c r="C3" s="526"/>
      <c r="D3" s="526"/>
      <c r="E3" s="526"/>
      <c r="F3" s="527"/>
      <c r="G3" s="48"/>
      <c r="H3" s="47" t="s">
        <v>30</v>
      </c>
      <c r="I3" s="45"/>
      <c r="J3" s="44"/>
      <c r="K3" s="44"/>
    </row>
    <row r="4" spans="1:11">
      <c r="A4" s="49" t="s">
        <v>16</v>
      </c>
      <c r="B4" s="49" t="s">
        <v>17</v>
      </c>
      <c r="C4" s="49" t="s">
        <v>18</v>
      </c>
      <c r="D4" s="49" t="s">
        <v>19</v>
      </c>
      <c r="E4" s="49" t="s">
        <v>31</v>
      </c>
      <c r="F4" s="50" t="s">
        <v>32</v>
      </c>
      <c r="G4" s="51"/>
      <c r="H4" s="49" t="s">
        <v>6</v>
      </c>
      <c r="I4" s="54"/>
      <c r="J4" s="52"/>
      <c r="K4" s="52"/>
    </row>
    <row r="5" spans="1:11">
      <c r="A5" s="53"/>
      <c r="B5" s="54"/>
      <c r="C5" s="54"/>
      <c r="D5" s="54"/>
      <c r="E5" s="54"/>
      <c r="F5" s="54"/>
      <c r="G5" s="55"/>
      <c r="H5" s="54"/>
      <c r="I5" s="54"/>
      <c r="J5" s="52"/>
      <c r="K5" s="52"/>
    </row>
    <row r="6" spans="1:11">
      <c r="A6" s="56">
        <v>1960</v>
      </c>
      <c r="B6" s="57">
        <v>935</v>
      </c>
      <c r="C6" s="57">
        <v>479</v>
      </c>
      <c r="D6" s="61">
        <v>2951</v>
      </c>
      <c r="E6" s="58">
        <v>209</v>
      </c>
      <c r="F6" s="59">
        <v>4575</v>
      </c>
      <c r="G6" s="60"/>
      <c r="H6" s="43">
        <v>686493</v>
      </c>
      <c r="I6" s="43"/>
      <c r="J6" s="52"/>
      <c r="K6" s="52"/>
    </row>
    <row r="7" spans="1:11">
      <c r="A7" s="56">
        <v>1961</v>
      </c>
      <c r="B7" s="57">
        <v>982</v>
      </c>
      <c r="C7" s="57">
        <v>518</v>
      </c>
      <c r="D7" s="61">
        <v>2975</v>
      </c>
      <c r="E7" s="58">
        <v>222</v>
      </c>
      <c r="F7" s="59">
        <v>4697</v>
      </c>
      <c r="G7" s="60"/>
      <c r="H7" s="43">
        <v>720120</v>
      </c>
      <c r="I7" s="43"/>
      <c r="J7" s="52"/>
      <c r="K7" s="52"/>
    </row>
    <row r="8" spans="1:11">
      <c r="A8" s="56">
        <v>1962</v>
      </c>
      <c r="B8" s="61">
        <v>1041</v>
      </c>
      <c r="C8" s="57">
        <v>551</v>
      </c>
      <c r="D8" s="61">
        <v>3099</v>
      </c>
      <c r="E8" s="58">
        <v>254</v>
      </c>
      <c r="F8" s="59">
        <v>4946</v>
      </c>
      <c r="G8" s="60"/>
      <c r="H8" s="43">
        <v>775381</v>
      </c>
      <c r="I8" s="43"/>
      <c r="J8" s="52"/>
      <c r="K8" s="52"/>
    </row>
    <row r="9" spans="1:11">
      <c r="A9" s="56">
        <v>1963</v>
      </c>
      <c r="B9" s="61">
        <v>1077</v>
      </c>
      <c r="C9" s="57">
        <v>574</v>
      </c>
      <c r="D9" s="61">
        <v>3191</v>
      </c>
      <c r="E9" s="58">
        <v>259</v>
      </c>
      <c r="F9" s="59">
        <v>5101</v>
      </c>
      <c r="G9" s="60"/>
      <c r="H9" s="43">
        <v>830079</v>
      </c>
      <c r="I9" s="43"/>
      <c r="J9" s="52"/>
      <c r="K9" s="52"/>
    </row>
    <row r="10" spans="1:11">
      <c r="A10" s="56">
        <v>1964</v>
      </c>
      <c r="B10" s="61">
        <v>1139</v>
      </c>
      <c r="C10" s="57">
        <v>610</v>
      </c>
      <c r="D10" s="61">
        <v>3544</v>
      </c>
      <c r="E10" s="58">
        <v>249</v>
      </c>
      <c r="F10" s="59">
        <v>5541</v>
      </c>
      <c r="G10" s="60"/>
      <c r="H10" s="43">
        <v>896059</v>
      </c>
      <c r="I10" s="43"/>
      <c r="J10" s="52"/>
      <c r="K10" s="52"/>
    </row>
    <row r="11" spans="1:11">
      <c r="A11" s="56">
        <v>1965</v>
      </c>
      <c r="B11" s="61">
        <v>1216</v>
      </c>
      <c r="C11" s="57">
        <v>654</v>
      </c>
      <c r="D11" s="61">
        <v>3939</v>
      </c>
      <c r="E11" s="58">
        <v>270</v>
      </c>
      <c r="F11" s="59">
        <v>6080</v>
      </c>
      <c r="G11" s="60"/>
      <c r="H11" s="43">
        <v>959493</v>
      </c>
      <c r="I11" s="43"/>
      <c r="J11" s="52"/>
      <c r="K11" s="52"/>
    </row>
    <row r="12" spans="1:11">
      <c r="A12" s="56">
        <v>1966</v>
      </c>
      <c r="B12" s="61">
        <v>1261</v>
      </c>
      <c r="C12" s="57">
        <v>698</v>
      </c>
      <c r="D12" s="61">
        <v>4657</v>
      </c>
      <c r="E12" s="58">
        <v>286</v>
      </c>
      <c r="F12" s="59">
        <v>6902</v>
      </c>
      <c r="G12" s="60"/>
      <c r="H12" s="43">
        <v>1035145</v>
      </c>
      <c r="I12" s="43"/>
      <c r="J12" s="52"/>
      <c r="K12" s="52"/>
    </row>
    <row r="13" spans="1:11">
      <c r="A13" s="56">
        <v>1967</v>
      </c>
      <c r="B13" s="61">
        <v>1291</v>
      </c>
      <c r="C13" s="57">
        <v>746</v>
      </c>
      <c r="D13" s="61">
        <v>4282</v>
      </c>
      <c r="E13" s="58">
        <v>293</v>
      </c>
      <c r="F13" s="59">
        <v>6612</v>
      </c>
      <c r="G13" s="60"/>
      <c r="H13" s="43">
        <v>1099137</v>
      </c>
      <c r="I13" s="43"/>
      <c r="J13" s="52"/>
      <c r="K13" s="52"/>
    </row>
    <row r="14" spans="1:11">
      <c r="A14" s="56">
        <v>1968</v>
      </c>
      <c r="B14" s="61">
        <v>1373</v>
      </c>
      <c r="C14" s="57">
        <v>805</v>
      </c>
      <c r="D14" s="61">
        <v>4982</v>
      </c>
      <c r="E14" s="58">
        <v>273</v>
      </c>
      <c r="F14" s="59">
        <v>7433</v>
      </c>
      <c r="G14" s="60"/>
      <c r="H14" s="43">
        <v>1202871</v>
      </c>
      <c r="I14" s="43"/>
      <c r="J14" s="52"/>
      <c r="K14" s="52"/>
    </row>
    <row r="15" spans="1:11">
      <c r="A15" s="56">
        <v>1969</v>
      </c>
      <c r="B15" s="61">
        <v>1462</v>
      </c>
      <c r="C15" s="57">
        <v>863</v>
      </c>
      <c r="D15" s="61">
        <v>6208</v>
      </c>
      <c r="E15" s="58">
        <v>247</v>
      </c>
      <c r="F15" s="59">
        <v>8781</v>
      </c>
      <c r="G15" s="60"/>
      <c r="H15" s="43">
        <v>1312406</v>
      </c>
      <c r="I15" s="43"/>
      <c r="J15" s="52"/>
      <c r="K15" s="52"/>
    </row>
    <row r="16" spans="1:11">
      <c r="A16" s="56">
        <v>1970</v>
      </c>
      <c r="B16" s="61">
        <v>1534</v>
      </c>
      <c r="C16" s="57">
        <v>924</v>
      </c>
      <c r="D16" s="61">
        <v>6029</v>
      </c>
      <c r="E16" s="58">
        <v>264</v>
      </c>
      <c r="F16" s="59">
        <v>8750</v>
      </c>
      <c r="G16" s="60"/>
      <c r="H16" s="43">
        <v>1392300</v>
      </c>
      <c r="I16" s="43"/>
      <c r="J16" s="52"/>
      <c r="K16" s="52"/>
    </row>
    <row r="17" spans="1:11">
      <c r="A17" s="56">
        <v>1971</v>
      </c>
      <c r="B17" s="61">
        <v>1633</v>
      </c>
      <c r="C17" s="57">
        <v>990</v>
      </c>
      <c r="D17" s="61">
        <v>5999</v>
      </c>
      <c r="E17" s="58">
        <v>268</v>
      </c>
      <c r="F17" s="59">
        <v>8890</v>
      </c>
      <c r="G17" s="60"/>
      <c r="H17" s="43">
        <v>1469306</v>
      </c>
      <c r="I17" s="43"/>
      <c r="J17" s="52"/>
      <c r="K17" s="52"/>
    </row>
    <row r="18" spans="1:11">
      <c r="A18" s="56">
        <v>1972</v>
      </c>
      <c r="B18" s="61">
        <v>1768</v>
      </c>
      <c r="C18" s="61">
        <v>1070</v>
      </c>
      <c r="D18" s="61">
        <v>5660</v>
      </c>
      <c r="E18" s="58">
        <v>265</v>
      </c>
      <c r="F18" s="59">
        <v>8763</v>
      </c>
      <c r="G18" s="60"/>
      <c r="H18" s="43">
        <v>1595161</v>
      </c>
      <c r="I18" s="43"/>
      <c r="J18" s="52"/>
      <c r="K18" s="52"/>
    </row>
    <row r="19" spans="1:11">
      <c r="A19" s="56">
        <v>1973</v>
      </c>
      <c r="B19" s="61">
        <v>1812</v>
      </c>
      <c r="C19" s="61">
        <v>1125</v>
      </c>
      <c r="D19" s="61">
        <v>5034</v>
      </c>
      <c r="E19" s="58">
        <v>246</v>
      </c>
      <c r="F19" s="59">
        <v>8217</v>
      </c>
      <c r="G19" s="60"/>
      <c r="H19" s="43">
        <v>1713380</v>
      </c>
      <c r="I19" s="43"/>
      <c r="J19" s="52"/>
      <c r="K19" s="52"/>
    </row>
    <row r="20" spans="1:11">
      <c r="A20" s="56">
        <v>1974</v>
      </c>
      <c r="B20" s="61">
        <v>1873</v>
      </c>
      <c r="C20" s="61">
        <v>1156</v>
      </c>
      <c r="D20" s="61">
        <v>5929</v>
      </c>
      <c r="E20" s="58">
        <v>213</v>
      </c>
      <c r="F20" s="59">
        <v>9171</v>
      </c>
      <c r="G20" s="60"/>
      <c r="H20" s="43">
        <v>1707852</v>
      </c>
      <c r="I20" s="43"/>
      <c r="J20" s="52"/>
      <c r="K20" s="52"/>
    </row>
    <row r="21" spans="1:11">
      <c r="A21" s="56">
        <v>1975</v>
      </c>
      <c r="B21" s="61">
        <v>2058</v>
      </c>
      <c r="C21" s="61">
        <v>1250</v>
      </c>
      <c r="D21" s="61">
        <v>5069</v>
      </c>
      <c r="E21" s="58">
        <v>197</v>
      </c>
      <c r="F21" s="59">
        <v>8575</v>
      </c>
      <c r="G21" s="60"/>
      <c r="H21" s="43">
        <v>1736267</v>
      </c>
      <c r="I21" s="43"/>
      <c r="J21" s="52"/>
      <c r="K21" s="52"/>
    </row>
    <row r="22" spans="1:11">
      <c r="A22" s="56">
        <v>1976</v>
      </c>
      <c r="B22" s="61">
        <v>2261</v>
      </c>
      <c r="C22" s="61">
        <v>1525</v>
      </c>
      <c r="D22" s="61">
        <v>5922</v>
      </c>
      <c r="E22" s="58">
        <v>203</v>
      </c>
      <c r="F22" s="59">
        <v>9911</v>
      </c>
      <c r="G22" s="60"/>
      <c r="H22" s="43">
        <v>1855246</v>
      </c>
      <c r="I22" s="43"/>
      <c r="J22" s="52"/>
      <c r="K22" s="52"/>
    </row>
    <row r="23" spans="1:11">
      <c r="A23" s="56">
        <v>1977</v>
      </c>
      <c r="B23" s="61">
        <v>2440</v>
      </c>
      <c r="C23" s="61">
        <v>1625</v>
      </c>
      <c r="D23" s="61">
        <v>5759</v>
      </c>
      <c r="E23" s="58">
        <v>189</v>
      </c>
      <c r="F23" s="59">
        <v>10013</v>
      </c>
      <c r="G23" s="60"/>
      <c r="H23" s="43">
        <v>1948361</v>
      </c>
      <c r="I23" s="43"/>
      <c r="J23" s="52"/>
      <c r="K23" s="52"/>
    </row>
    <row r="24" spans="1:11">
      <c r="A24" s="56">
        <v>1978</v>
      </c>
      <c r="B24" s="61">
        <v>2754</v>
      </c>
      <c r="C24" s="61">
        <v>1768</v>
      </c>
      <c r="D24" s="61">
        <v>6106</v>
      </c>
      <c r="E24" s="58">
        <v>158</v>
      </c>
      <c r="F24" s="59">
        <v>10786</v>
      </c>
      <c r="G24" s="60"/>
      <c r="H24" s="43">
        <v>2017922</v>
      </c>
      <c r="I24" s="43"/>
      <c r="J24" s="52"/>
      <c r="K24" s="52"/>
    </row>
    <row r="25" spans="1:11">
      <c r="A25" s="56">
        <v>1979</v>
      </c>
      <c r="B25" s="61">
        <v>2957</v>
      </c>
      <c r="C25" s="61">
        <v>1907</v>
      </c>
      <c r="D25" s="61">
        <v>6111</v>
      </c>
      <c r="E25" s="58">
        <v>154</v>
      </c>
      <c r="F25" s="59">
        <v>11129</v>
      </c>
      <c r="G25" s="60"/>
      <c r="H25" s="43">
        <v>2071099</v>
      </c>
      <c r="I25" s="43"/>
      <c r="J25" s="52"/>
      <c r="K25" s="52"/>
    </row>
    <row r="26" spans="1:11">
      <c r="A26" s="56">
        <v>1980</v>
      </c>
      <c r="B26" s="61">
        <v>2916</v>
      </c>
      <c r="C26" s="61">
        <v>1957</v>
      </c>
      <c r="D26" s="61">
        <v>5815</v>
      </c>
      <c r="E26" s="58">
        <v>137</v>
      </c>
      <c r="F26" s="59">
        <v>10825</v>
      </c>
      <c r="G26" s="60"/>
      <c r="H26" s="43">
        <v>2094449</v>
      </c>
      <c r="I26" s="43"/>
      <c r="J26" s="52"/>
      <c r="K26" s="52"/>
    </row>
    <row r="27" spans="1:11">
      <c r="A27" s="56">
        <v>1981</v>
      </c>
      <c r="B27" s="61">
        <v>2906</v>
      </c>
      <c r="C27" s="61">
        <v>2045</v>
      </c>
      <c r="D27" s="61">
        <v>5848</v>
      </c>
      <c r="E27" s="58">
        <v>157</v>
      </c>
      <c r="F27" s="59">
        <v>10956</v>
      </c>
      <c r="G27" s="60"/>
      <c r="H27" s="43">
        <v>2147103</v>
      </c>
      <c r="I27" s="43"/>
      <c r="J27" s="52"/>
      <c r="K27" s="52"/>
    </row>
    <row r="28" spans="1:11">
      <c r="A28" s="56">
        <v>1982</v>
      </c>
      <c r="B28" s="61">
        <v>3178</v>
      </c>
      <c r="C28" s="61">
        <v>2180</v>
      </c>
      <c r="D28" s="61">
        <v>4759</v>
      </c>
      <c r="E28" s="58">
        <v>159</v>
      </c>
      <c r="F28" s="59">
        <v>10276</v>
      </c>
      <c r="G28" s="60"/>
      <c r="H28" s="43">
        <v>2086441</v>
      </c>
      <c r="I28" s="43"/>
      <c r="J28" s="52"/>
      <c r="K28" s="52"/>
    </row>
    <row r="29" spans="1:11">
      <c r="A29" s="56">
        <v>1983</v>
      </c>
      <c r="B29" s="61">
        <v>3097</v>
      </c>
      <c r="C29" s="61">
        <v>2334</v>
      </c>
      <c r="D29" s="61">
        <v>4217</v>
      </c>
      <c r="E29" s="58">
        <v>166</v>
      </c>
      <c r="F29" s="59">
        <v>9813</v>
      </c>
      <c r="G29" s="60"/>
      <c r="H29" s="43">
        <v>2150955</v>
      </c>
      <c r="I29" s="43"/>
      <c r="J29" s="52"/>
      <c r="K29" s="52"/>
    </row>
    <row r="30" spans="1:11">
      <c r="A30" s="56">
        <v>1984</v>
      </c>
      <c r="B30" s="61">
        <v>3386</v>
      </c>
      <c r="C30" s="61">
        <v>2687</v>
      </c>
      <c r="D30" s="61">
        <v>5229</v>
      </c>
      <c r="E30" s="58">
        <v>164</v>
      </c>
      <c r="F30" s="59">
        <v>11466</v>
      </c>
      <c r="G30" s="60"/>
      <c r="H30" s="43">
        <v>2278372</v>
      </c>
      <c r="I30" s="43"/>
      <c r="J30" s="52"/>
      <c r="K30" s="52"/>
    </row>
    <row r="31" spans="1:11">
      <c r="A31" s="56">
        <v>1985</v>
      </c>
      <c r="B31" s="61">
        <v>3505</v>
      </c>
      <c r="C31" s="61">
        <v>2521</v>
      </c>
      <c r="D31" s="61">
        <v>5623</v>
      </c>
      <c r="E31" s="58">
        <v>173</v>
      </c>
      <c r="F31" s="59">
        <v>11822</v>
      </c>
      <c r="G31" s="60"/>
      <c r="H31" s="43">
        <v>2309543</v>
      </c>
      <c r="I31" s="43"/>
      <c r="J31" s="52"/>
      <c r="K31" s="52"/>
    </row>
    <row r="32" spans="1:11">
      <c r="A32" s="56">
        <v>1986</v>
      </c>
      <c r="B32" s="61">
        <v>3181</v>
      </c>
      <c r="C32" s="61">
        <v>2302</v>
      </c>
      <c r="D32" s="61">
        <v>5948</v>
      </c>
      <c r="E32" s="58">
        <v>161</v>
      </c>
      <c r="F32" s="59">
        <v>11593</v>
      </c>
      <c r="G32" s="60"/>
      <c r="H32" s="43">
        <v>2350835</v>
      </c>
      <c r="I32" s="43"/>
      <c r="J32" s="52"/>
      <c r="K32" s="52"/>
    </row>
    <row r="33" spans="1:11">
      <c r="A33" s="56">
        <v>1987</v>
      </c>
      <c r="B33" s="61">
        <v>3139</v>
      </c>
      <c r="C33" s="61">
        <v>2495</v>
      </c>
      <c r="D33" s="61">
        <v>6304</v>
      </c>
      <c r="E33" s="58">
        <v>484</v>
      </c>
      <c r="F33" s="59">
        <v>12423</v>
      </c>
      <c r="G33" s="60"/>
      <c r="H33" s="43">
        <v>2457272</v>
      </c>
      <c r="I33" s="43"/>
      <c r="J33" s="52"/>
      <c r="K33" s="52"/>
    </row>
    <row r="34" spans="1:11">
      <c r="A34" s="56">
        <v>1988</v>
      </c>
      <c r="B34" s="61">
        <v>3301</v>
      </c>
      <c r="C34" s="61">
        <v>2620</v>
      </c>
      <c r="D34" s="61">
        <v>6438</v>
      </c>
      <c r="E34" s="58">
        <v>582</v>
      </c>
      <c r="F34" s="59">
        <v>12942</v>
      </c>
      <c r="G34" s="60"/>
      <c r="H34" s="43">
        <v>2578062</v>
      </c>
      <c r="I34" s="43"/>
      <c r="J34" s="52"/>
      <c r="K34" s="52"/>
    </row>
    <row r="35" spans="1:11">
      <c r="A35" s="56">
        <v>1989</v>
      </c>
      <c r="B35" s="61">
        <v>3456</v>
      </c>
      <c r="C35" s="61">
        <v>2670</v>
      </c>
      <c r="D35" s="61">
        <v>6535</v>
      </c>
      <c r="E35" s="58">
        <v>400</v>
      </c>
      <c r="F35" s="59">
        <v>13061</v>
      </c>
      <c r="G35" s="60"/>
      <c r="H35" s="43">
        <v>2646809</v>
      </c>
      <c r="I35" s="43"/>
      <c r="J35" s="52"/>
      <c r="K35" s="52"/>
    </row>
    <row r="36" spans="1:11">
      <c r="A36" s="56">
        <v>1990</v>
      </c>
      <c r="B36" s="61">
        <v>3358.3850000000002</v>
      </c>
      <c r="C36" s="61">
        <v>2737.5259999999998</v>
      </c>
      <c r="D36" s="61">
        <v>6529.326</v>
      </c>
      <c r="E36" s="61">
        <v>499.346</v>
      </c>
      <c r="F36" s="59">
        <v>13124.583000000001</v>
      </c>
      <c r="G36" s="60"/>
      <c r="H36" s="43">
        <v>2712554.665</v>
      </c>
      <c r="I36" s="43"/>
      <c r="J36" s="67"/>
      <c r="K36" s="67"/>
    </row>
    <row r="37" spans="1:11">
      <c r="A37" s="56">
        <v>1991</v>
      </c>
      <c r="B37" s="61">
        <v>3458.893</v>
      </c>
      <c r="C37" s="61">
        <v>2818.85</v>
      </c>
      <c r="D37" s="61">
        <v>6622.098</v>
      </c>
      <c r="E37" s="61">
        <v>506.75900000000001</v>
      </c>
      <c r="F37" s="59">
        <v>13406.6</v>
      </c>
      <c r="G37" s="60"/>
      <c r="H37" s="43">
        <v>2762003.04</v>
      </c>
      <c r="I37" s="43"/>
      <c r="J37" s="67"/>
      <c r="K37" s="67"/>
    </row>
    <row r="38" spans="1:11">
      <c r="A38" s="56">
        <v>1992</v>
      </c>
      <c r="B38" s="61">
        <v>3286.3649999999998</v>
      </c>
      <c r="C38" s="61">
        <v>2859.4879999999998</v>
      </c>
      <c r="D38" s="61">
        <v>6414.3789999999999</v>
      </c>
      <c r="E38" s="61">
        <v>536.15</v>
      </c>
      <c r="F38" s="59">
        <v>13096.382</v>
      </c>
      <c r="G38" s="60"/>
      <c r="H38" s="43">
        <v>2763365.449</v>
      </c>
      <c r="I38" s="43"/>
      <c r="J38" s="67"/>
      <c r="K38" s="67"/>
    </row>
    <row r="39" spans="1:11">
      <c r="A39" s="56">
        <v>1993</v>
      </c>
      <c r="B39" s="61">
        <v>3597.9870000000001</v>
      </c>
      <c r="C39" s="61">
        <v>3026.0770000000002</v>
      </c>
      <c r="D39" s="61">
        <v>5836.5789999999997</v>
      </c>
      <c r="E39" s="61">
        <v>468.584</v>
      </c>
      <c r="F39" s="59">
        <v>12929.227000000001</v>
      </c>
      <c r="G39" s="60"/>
      <c r="H39" s="43">
        <v>2861462.34</v>
      </c>
      <c r="I39" s="43"/>
      <c r="J39" s="67"/>
      <c r="K39" s="67"/>
    </row>
    <row r="40" spans="1:11">
      <c r="A40" s="56">
        <v>1994</v>
      </c>
      <c r="B40" s="61">
        <v>3566.9169999999999</v>
      </c>
      <c r="C40" s="61">
        <v>3096.0320000000002</v>
      </c>
      <c r="D40" s="61">
        <v>5960.54</v>
      </c>
      <c r="E40" s="61">
        <v>560.64499999999998</v>
      </c>
      <c r="F40" s="59">
        <v>13184.134</v>
      </c>
      <c r="G40" s="60"/>
      <c r="H40" s="43">
        <v>2934562.8640000001</v>
      </c>
      <c r="I40" s="43"/>
      <c r="J40" s="67"/>
      <c r="K40" s="67"/>
    </row>
    <row r="41" spans="1:11">
      <c r="A41" s="56">
        <v>1995</v>
      </c>
      <c r="B41" s="61">
        <v>3639.8789999999999</v>
      </c>
      <c r="C41" s="61">
        <v>3133.252</v>
      </c>
      <c r="D41" s="61">
        <v>6367.7020000000002</v>
      </c>
      <c r="E41" s="61">
        <v>277.69</v>
      </c>
      <c r="F41" s="59">
        <v>13418.522999999999</v>
      </c>
      <c r="G41" s="60"/>
      <c r="H41" s="43">
        <v>3013286.5890000002</v>
      </c>
      <c r="I41" s="43"/>
      <c r="J41" s="67"/>
      <c r="K41" s="67"/>
    </row>
    <row r="42" spans="1:11">
      <c r="A42" s="56">
        <v>1996</v>
      </c>
      <c r="B42" s="61">
        <v>3910.5160000000001</v>
      </c>
      <c r="C42" s="61">
        <v>3298.6</v>
      </c>
      <c r="D42" s="61">
        <v>6305.683</v>
      </c>
      <c r="E42" s="61">
        <v>304.75700000000001</v>
      </c>
      <c r="F42" s="59">
        <v>13819.556</v>
      </c>
      <c r="G42" s="60"/>
      <c r="H42" s="43">
        <v>3101127.023</v>
      </c>
      <c r="I42" s="43"/>
      <c r="J42" s="67"/>
      <c r="K42" s="67"/>
    </row>
    <row r="43" spans="1:11">
      <c r="A43" s="62" t="s">
        <v>33</v>
      </c>
      <c r="B43" s="61">
        <v>3803.973</v>
      </c>
      <c r="C43" s="61">
        <v>3292.924</v>
      </c>
      <c r="D43" s="61">
        <v>6353</v>
      </c>
      <c r="E43" s="61">
        <v>283.91800000000001</v>
      </c>
      <c r="F43" s="59">
        <v>13733.815000000001</v>
      </c>
      <c r="G43" s="60"/>
      <c r="H43" s="43">
        <v>3145610.4279999998</v>
      </c>
      <c r="I43" s="43"/>
      <c r="J43" s="67"/>
      <c r="K43" s="67"/>
    </row>
    <row r="44" spans="1:11">
      <c r="A44" s="63" t="s">
        <v>261</v>
      </c>
      <c r="B44" s="61">
        <v>3722.471</v>
      </c>
      <c r="C44" s="61">
        <v>3313.181</v>
      </c>
      <c r="D44" s="61">
        <v>6773.7870000000003</v>
      </c>
      <c r="E44" s="61">
        <v>335.39299999999997</v>
      </c>
      <c r="F44" s="59">
        <v>14144.832</v>
      </c>
      <c r="G44" s="60"/>
      <c r="H44" s="43">
        <v>3264230.7519999999</v>
      </c>
      <c r="I44" s="43"/>
      <c r="J44" s="67"/>
      <c r="K44" s="67"/>
    </row>
    <row r="45" spans="1:11">
      <c r="A45" s="63" t="s">
        <v>260</v>
      </c>
      <c r="B45" s="61">
        <v>3664.4140000000002</v>
      </c>
      <c r="C45" s="61">
        <v>3025.1109999999999</v>
      </c>
      <c r="D45" s="61">
        <v>6257.7479999999996</v>
      </c>
      <c r="E45" s="61">
        <v>334.32600000000002</v>
      </c>
      <c r="F45" s="59">
        <v>13281.599</v>
      </c>
      <c r="G45" s="60"/>
      <c r="H45" s="43">
        <v>3312087.0809999998</v>
      </c>
      <c r="I45" s="43"/>
      <c r="J45" s="67"/>
      <c r="K45" s="67"/>
    </row>
    <row r="46" spans="1:11">
      <c r="A46" s="63">
        <v>2000</v>
      </c>
      <c r="B46" s="61">
        <v>3907.7539999999999</v>
      </c>
      <c r="C46" s="61">
        <v>3791.8609999999999</v>
      </c>
      <c r="D46" s="61">
        <v>6567.9340000000002</v>
      </c>
      <c r="E46" s="61">
        <v>312.43299999999999</v>
      </c>
      <c r="F46" s="59">
        <v>14579.982</v>
      </c>
      <c r="G46" s="60"/>
      <c r="H46" s="43">
        <v>3421414.2659999998</v>
      </c>
      <c r="I46" s="43"/>
      <c r="J46" s="67"/>
      <c r="K46" s="67"/>
    </row>
    <row r="47" spans="1:11">
      <c r="A47" s="63">
        <v>2001</v>
      </c>
      <c r="B47" s="61">
        <v>3886.2240000000002</v>
      </c>
      <c r="C47" s="61">
        <v>3865.6790000000001</v>
      </c>
      <c r="D47" s="61">
        <v>3370.259</v>
      </c>
      <c r="E47" s="61">
        <v>324.49599999999998</v>
      </c>
      <c r="F47" s="59">
        <v>11446.657999999999</v>
      </c>
      <c r="G47" s="60"/>
      <c r="H47" s="43">
        <v>3394458.1039999998</v>
      </c>
      <c r="I47" s="43"/>
      <c r="J47" s="67"/>
      <c r="K47" s="67"/>
    </row>
    <row r="48" spans="1:11">
      <c r="A48" s="63">
        <v>2002</v>
      </c>
      <c r="B48" s="61">
        <v>4030.6640000000002</v>
      </c>
      <c r="C48" s="61">
        <v>4003.1080000000002</v>
      </c>
      <c r="D48" s="61">
        <v>4462.7939999999999</v>
      </c>
      <c r="E48" s="61">
        <v>334.822</v>
      </c>
      <c r="F48" s="59">
        <v>12831.388000000001</v>
      </c>
      <c r="G48" s="60"/>
      <c r="H48" s="43">
        <v>3465466.0109999999</v>
      </c>
      <c r="I48" s="43"/>
      <c r="J48" s="67"/>
      <c r="K48" s="67"/>
    </row>
    <row r="49" spans="1:11">
      <c r="A49" s="63">
        <v>2003</v>
      </c>
      <c r="B49" s="61">
        <v>4120.1499999999996</v>
      </c>
      <c r="C49" s="61">
        <v>4437.53</v>
      </c>
      <c r="D49" s="61">
        <v>4266.9799999999996</v>
      </c>
      <c r="E49" s="58" t="s">
        <v>13</v>
      </c>
      <c r="F49" s="59">
        <v>12824.66</v>
      </c>
      <c r="G49" s="60"/>
      <c r="H49" s="43">
        <v>3493734.486</v>
      </c>
      <c r="I49" s="43"/>
      <c r="J49" s="67"/>
      <c r="K49" s="67"/>
    </row>
    <row r="50" spans="1:11">
      <c r="A50" s="63">
        <v>2004</v>
      </c>
      <c r="B50" s="61">
        <v>4052.761</v>
      </c>
      <c r="C50" s="61">
        <v>4330.1779999999999</v>
      </c>
      <c r="D50" s="61">
        <v>4573.8429999999998</v>
      </c>
      <c r="E50" s="58" t="s">
        <v>13</v>
      </c>
      <c r="F50" s="59">
        <v>12956.781999999999</v>
      </c>
      <c r="G50" s="60"/>
      <c r="H50" s="43">
        <v>3547479.483</v>
      </c>
      <c r="I50" s="43"/>
      <c r="J50" s="67"/>
      <c r="K50" s="67"/>
    </row>
    <row r="51" spans="1:11">
      <c r="A51" s="63">
        <v>2005</v>
      </c>
      <c r="B51" s="61">
        <v>4221.4480000000003</v>
      </c>
      <c r="C51" s="61">
        <v>4473.3940000000002</v>
      </c>
      <c r="D51" s="61">
        <v>4783.9960000000001</v>
      </c>
      <c r="E51" s="58" t="s">
        <v>13</v>
      </c>
      <c r="F51" s="59">
        <v>13478.838</v>
      </c>
      <c r="G51" s="60"/>
      <c r="H51" s="43">
        <v>3660968.5129999998</v>
      </c>
      <c r="I51" s="43"/>
      <c r="J51" s="67"/>
      <c r="K51" s="67"/>
    </row>
    <row r="52" spans="1:11">
      <c r="A52" s="63">
        <v>2006</v>
      </c>
      <c r="B52" s="61">
        <v>4393.973</v>
      </c>
      <c r="C52" s="61">
        <v>4685.9920000000002</v>
      </c>
      <c r="D52" s="61">
        <v>4735.0150000000003</v>
      </c>
      <c r="E52" s="58" t="s">
        <v>13</v>
      </c>
      <c r="F52" s="59">
        <v>13814.98</v>
      </c>
      <c r="G52" s="60"/>
      <c r="H52" s="43">
        <v>3669918.84</v>
      </c>
      <c r="I52" s="43"/>
      <c r="J52" s="67"/>
      <c r="K52" s="67"/>
    </row>
    <row r="53" spans="1:11">
      <c r="A53" s="63">
        <v>2007</v>
      </c>
      <c r="B53" s="61">
        <v>4541.5439999999999</v>
      </c>
      <c r="C53" s="61">
        <v>4827.7240000000002</v>
      </c>
      <c r="D53" s="61">
        <v>6162.7169999999996</v>
      </c>
      <c r="E53" s="58" t="s">
        <v>13</v>
      </c>
      <c r="F53" s="59">
        <v>15531.985000000001</v>
      </c>
      <c r="G53" s="60"/>
      <c r="H53" s="43">
        <v>3764560.7119999998</v>
      </c>
      <c r="I53" s="43"/>
      <c r="J53" s="67"/>
      <c r="K53" s="67"/>
    </row>
    <row r="54" spans="1:11">
      <c r="A54" s="63">
        <v>2008</v>
      </c>
      <c r="B54" s="61">
        <v>4669.4669999999996</v>
      </c>
      <c r="C54" s="61">
        <v>4825.5200000000004</v>
      </c>
      <c r="D54" s="61">
        <v>5831.4129999999996</v>
      </c>
      <c r="E54" s="58" t="s">
        <v>13</v>
      </c>
      <c r="F54" s="59">
        <v>15326.4</v>
      </c>
      <c r="G54" s="60"/>
      <c r="H54" s="43">
        <v>3732962.18</v>
      </c>
      <c r="I54" s="43"/>
      <c r="J54" s="67"/>
      <c r="K54" s="67"/>
    </row>
    <row r="55" spans="1:11">
      <c r="A55" s="63">
        <v>2009</v>
      </c>
      <c r="B55" s="61">
        <v>4774.2809999999999</v>
      </c>
      <c r="C55" s="61">
        <v>4779.366</v>
      </c>
      <c r="D55" s="61">
        <v>4772.5119999999997</v>
      </c>
      <c r="E55" s="58" t="s">
        <v>13</v>
      </c>
      <c r="F55" s="59">
        <v>14326.159</v>
      </c>
      <c r="G55" s="60"/>
      <c r="H55" s="43">
        <v>3596864.8659999999</v>
      </c>
      <c r="I55" s="43"/>
      <c r="J55" s="67"/>
      <c r="K55" s="67"/>
    </row>
    <row r="56" spans="1:11">
      <c r="A56" s="63">
        <v>2010</v>
      </c>
      <c r="B56" s="61">
        <v>4742.7939999999999</v>
      </c>
      <c r="C56" s="61">
        <v>4789.1819999999998</v>
      </c>
      <c r="D56" s="61">
        <v>3891.1619999999998</v>
      </c>
      <c r="E56" s="58" t="s">
        <v>13</v>
      </c>
      <c r="F56" s="59">
        <v>13423.138000000001</v>
      </c>
      <c r="G56" s="60"/>
      <c r="H56" s="43">
        <v>3754493.0529999998</v>
      </c>
      <c r="I56" s="43"/>
      <c r="J56" s="67"/>
      <c r="K56" s="67"/>
    </row>
    <row r="57" spans="1:11">
      <c r="A57" s="63">
        <v>2011</v>
      </c>
      <c r="B57" s="68">
        <v>4913</v>
      </c>
      <c r="C57" s="61">
        <v>4892</v>
      </c>
      <c r="D57" s="61">
        <v>3983</v>
      </c>
      <c r="E57" s="58" t="s">
        <v>13</v>
      </c>
      <c r="F57" s="59">
        <v>13788</v>
      </c>
      <c r="G57" s="60"/>
      <c r="H57" s="43">
        <v>3282882</v>
      </c>
      <c r="I57" s="43"/>
      <c r="J57" s="67"/>
      <c r="K57" s="67"/>
    </row>
    <row r="58" spans="1:11">
      <c r="A58" s="63">
        <v>2012</v>
      </c>
      <c r="B58" s="159">
        <v>4778</v>
      </c>
      <c r="C58" s="61">
        <v>4918</v>
      </c>
      <c r="D58" s="61">
        <v>4168</v>
      </c>
      <c r="E58" s="112" t="s">
        <v>13</v>
      </c>
      <c r="F58" s="59">
        <v>13863</v>
      </c>
      <c r="G58" s="60"/>
      <c r="H58" s="43">
        <v>3694650</v>
      </c>
      <c r="I58" s="43"/>
      <c r="J58" s="67"/>
      <c r="K58" s="67"/>
    </row>
    <row r="59" spans="1:11">
      <c r="A59" s="63">
        <v>2013</v>
      </c>
      <c r="B59" s="68">
        <v>4926</v>
      </c>
      <c r="C59" s="61">
        <v>4890</v>
      </c>
      <c r="D59" s="61">
        <v>4229</v>
      </c>
      <c r="E59" s="206" t="s">
        <v>13</v>
      </c>
      <c r="F59" s="43">
        <v>14045</v>
      </c>
      <c r="G59" s="207"/>
      <c r="H59" s="61">
        <v>3725064</v>
      </c>
      <c r="I59" s="61"/>
      <c r="J59" s="61"/>
      <c r="K59" s="61"/>
    </row>
    <row r="60" spans="1:11">
      <c r="A60" s="63">
        <v>2014</v>
      </c>
      <c r="B60" s="61">
        <v>4969</v>
      </c>
      <c r="C60" s="61">
        <v>4903</v>
      </c>
      <c r="D60" s="61">
        <v>4230</v>
      </c>
      <c r="E60" s="206" t="s">
        <v>13</v>
      </c>
      <c r="F60" s="43">
        <v>14102</v>
      </c>
      <c r="G60" s="207"/>
      <c r="H60" s="61">
        <v>3764700</v>
      </c>
      <c r="I60" s="61"/>
      <c r="J60" s="61"/>
      <c r="K60" s="61"/>
    </row>
    <row r="61" spans="1:11">
      <c r="A61" s="63">
        <v>2015</v>
      </c>
      <c r="B61" s="61">
        <v>4825</v>
      </c>
      <c r="C61" s="61">
        <v>4894</v>
      </c>
      <c r="D61" s="61">
        <v>4488</v>
      </c>
      <c r="E61" s="206" t="s">
        <v>13</v>
      </c>
      <c r="F61" s="43">
        <v>14207</v>
      </c>
      <c r="G61" s="207"/>
      <c r="H61" s="61">
        <v>3758992</v>
      </c>
      <c r="I61" s="61"/>
      <c r="J61" s="61"/>
      <c r="K61" s="61"/>
    </row>
    <row r="62" spans="1:11">
      <c r="A62" s="283">
        <v>2016</v>
      </c>
      <c r="B62" s="285">
        <v>4853</v>
      </c>
      <c r="C62" s="61">
        <v>4832</v>
      </c>
      <c r="D62" s="61">
        <v>4416</v>
      </c>
      <c r="E62" s="206" t="s">
        <v>13</v>
      </c>
      <c r="F62" s="43">
        <v>14101</v>
      </c>
      <c r="G62" s="207"/>
      <c r="H62" s="61">
        <v>3762462</v>
      </c>
      <c r="I62" s="61"/>
      <c r="J62" s="61"/>
      <c r="K62" s="61"/>
    </row>
    <row r="63" spans="1:11">
      <c r="A63" s="283">
        <v>2017</v>
      </c>
      <c r="B63" s="285">
        <v>5225</v>
      </c>
      <c r="C63" s="61">
        <v>4970</v>
      </c>
      <c r="D63" s="61">
        <v>4515</v>
      </c>
      <c r="E63" s="206" t="s">
        <v>13</v>
      </c>
      <c r="F63" s="43">
        <v>14710</v>
      </c>
      <c r="G63" s="207"/>
      <c r="H63" s="61">
        <v>3723356</v>
      </c>
      <c r="I63" s="61"/>
      <c r="J63" s="61"/>
      <c r="K63" s="61"/>
    </row>
    <row r="64" spans="1:11">
      <c r="A64" s="283">
        <v>2018</v>
      </c>
      <c r="B64" s="285">
        <v>5198</v>
      </c>
      <c r="C64" s="61">
        <v>4921</v>
      </c>
      <c r="D64" s="61">
        <v>4720</v>
      </c>
      <c r="E64" s="206" t="s">
        <v>13</v>
      </c>
      <c r="F64" s="43">
        <v>14839</v>
      </c>
      <c r="G64" s="207"/>
      <c r="H64" s="61">
        <v>3859185</v>
      </c>
      <c r="I64" s="61"/>
      <c r="J64" s="61"/>
      <c r="K64" s="61"/>
    </row>
    <row r="65" spans="1:11">
      <c r="A65" s="283">
        <v>2019</v>
      </c>
      <c r="B65" s="285">
        <v>5308</v>
      </c>
      <c r="C65" s="61">
        <v>4956</v>
      </c>
      <c r="D65" s="61">
        <v>5057</v>
      </c>
      <c r="E65" s="206" t="s">
        <v>13</v>
      </c>
      <c r="F65" s="43">
        <v>15321</v>
      </c>
      <c r="G65" s="207"/>
      <c r="H65" s="61">
        <v>3811150</v>
      </c>
      <c r="I65" s="61"/>
      <c r="J65" s="61"/>
      <c r="K65" s="61"/>
    </row>
    <row r="66" spans="1:11">
      <c r="A66" s="63">
        <v>2020</v>
      </c>
      <c r="B66" s="61">
        <v>5380</v>
      </c>
      <c r="C66" s="61">
        <v>4702</v>
      </c>
      <c r="D66" s="61">
        <v>4502</v>
      </c>
      <c r="E66" s="206" t="s">
        <v>13</v>
      </c>
      <c r="F66" s="43">
        <v>14584</v>
      </c>
      <c r="G66" s="61"/>
      <c r="H66" s="285">
        <v>3717674</v>
      </c>
      <c r="I66" s="61"/>
      <c r="J66" s="61"/>
      <c r="K66" s="61"/>
    </row>
    <row r="67" spans="1:11">
      <c r="A67" s="283">
        <v>2021</v>
      </c>
      <c r="B67" s="285">
        <v>5559</v>
      </c>
      <c r="C67" s="61">
        <v>4906</v>
      </c>
      <c r="D67" s="61">
        <v>4496</v>
      </c>
      <c r="E67" s="206" t="s">
        <v>13</v>
      </c>
      <c r="F67" s="43">
        <v>14962</v>
      </c>
      <c r="G67" s="61"/>
      <c r="H67" s="285">
        <v>3805874</v>
      </c>
      <c r="I67" s="61"/>
      <c r="J67" s="61"/>
      <c r="K67" s="61"/>
    </row>
    <row r="68" spans="1:11">
      <c r="A68" s="283">
        <v>2022</v>
      </c>
      <c r="B68" s="285">
        <v>5865</v>
      </c>
      <c r="C68" s="61">
        <v>5044</v>
      </c>
      <c r="D68" s="61">
        <v>4658</v>
      </c>
      <c r="E68" s="206" t="s">
        <v>13</v>
      </c>
      <c r="F68" s="43">
        <v>15567</v>
      </c>
      <c r="G68" s="61"/>
      <c r="H68" s="285">
        <v>3909053</v>
      </c>
      <c r="I68" s="61"/>
      <c r="J68" s="61"/>
      <c r="K68" s="61"/>
    </row>
    <row r="69" spans="1:11">
      <c r="A69" s="283">
        <v>2023</v>
      </c>
      <c r="B69" s="285">
        <v>5755.5219999999999</v>
      </c>
      <c r="C69" s="455">
        <v>5063.0349999999999</v>
      </c>
      <c r="D69" s="455">
        <v>4686.1419999999998</v>
      </c>
      <c r="E69" s="206" t="s">
        <v>13</v>
      </c>
      <c r="F69" s="454">
        <v>15504.699000000001</v>
      </c>
      <c r="G69" s="61"/>
      <c r="H69" s="285">
        <v>3874253</v>
      </c>
      <c r="I69" s="61"/>
      <c r="J69" s="61"/>
      <c r="K69" s="61"/>
    </row>
    <row r="70" spans="1:11">
      <c r="A70" s="38" t="s">
        <v>440</v>
      </c>
      <c r="B70" s="38"/>
      <c r="C70" s="38"/>
      <c r="D70" s="38"/>
      <c r="E70" s="38"/>
      <c r="F70" s="38"/>
      <c r="G70" s="38"/>
      <c r="H70" s="65"/>
      <c r="I70" s="39"/>
      <c r="J70" s="65"/>
      <c r="K70" s="38"/>
    </row>
    <row r="71" spans="1:11">
      <c r="A71" s="66"/>
      <c r="B71" s="66"/>
      <c r="C71" s="66"/>
      <c r="D71" s="66"/>
      <c r="E71" s="66"/>
      <c r="F71" s="66"/>
      <c r="G71" s="66"/>
      <c r="H71" s="65"/>
      <c r="I71" s="39"/>
      <c r="J71" s="65"/>
      <c r="K71" s="66"/>
    </row>
    <row r="72" spans="1:11" ht="99.75" customHeight="1">
      <c r="A72" s="528" t="s">
        <v>441</v>
      </c>
      <c r="B72" s="524"/>
      <c r="C72" s="524"/>
      <c r="D72" s="524"/>
      <c r="E72" s="524"/>
      <c r="F72" s="524"/>
      <c r="G72" s="524"/>
      <c r="H72" s="524"/>
      <c r="I72" s="524"/>
      <c r="J72" s="524"/>
      <c r="K72" s="524"/>
    </row>
    <row r="73" spans="1:11" ht="15.75" customHeight="1">
      <c r="A73" s="528" t="s">
        <v>34</v>
      </c>
      <c r="B73" s="524"/>
      <c r="C73" s="524"/>
      <c r="D73" s="524"/>
      <c r="E73" s="524"/>
      <c r="F73" s="524"/>
      <c r="G73" s="524"/>
      <c r="H73" s="524"/>
      <c r="I73" s="524"/>
      <c r="J73" s="524"/>
      <c r="K73" s="524"/>
    </row>
    <row r="74" spans="1:11">
      <c r="A74" s="64"/>
      <c r="B74" s="52"/>
      <c r="C74" s="52"/>
      <c r="D74" s="52"/>
      <c r="E74" s="52"/>
      <c r="F74" s="52"/>
      <c r="G74" s="52"/>
      <c r="H74" s="52"/>
      <c r="I74" s="52"/>
      <c r="J74" s="52"/>
      <c r="K74" s="44"/>
    </row>
    <row r="75" spans="1:11" ht="64.900000000000006" customHeight="1">
      <c r="A75" s="518" t="s">
        <v>480</v>
      </c>
      <c r="B75" s="524"/>
      <c r="C75" s="524"/>
      <c r="D75" s="524"/>
      <c r="E75" s="524"/>
      <c r="F75" s="524"/>
      <c r="G75" s="524"/>
      <c r="H75" s="524"/>
      <c r="I75" s="524"/>
      <c r="J75" s="524"/>
      <c r="K75" s="524"/>
    </row>
  </sheetData>
  <mergeCells count="4">
    <mergeCell ref="A75:K75"/>
    <mergeCell ref="B3:F3"/>
    <mergeCell ref="A72:K72"/>
    <mergeCell ref="A73:K7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E1</vt:lpstr>
      <vt:lpstr>Charts E1a, E1b</vt:lpstr>
      <vt:lpstr>Table E2</vt:lpstr>
      <vt:lpstr>Table E3</vt:lpstr>
      <vt:lpstr>Chart E3a</vt:lpstr>
      <vt:lpstr>Chart E3b</vt:lpstr>
      <vt:lpstr>Table E4</vt:lpstr>
      <vt:lpstr>Table E5</vt:lpstr>
      <vt:lpstr>Table E6</vt:lpstr>
      <vt:lpstr>Table E7</vt:lpstr>
      <vt:lpstr>Table E8</vt:lpstr>
      <vt:lpstr>Table E8a</vt:lpstr>
      <vt:lpstr>Table E9</vt:lpstr>
      <vt:lpstr>Chart E10</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Fullerton, Kristyn</cp:lastModifiedBy>
  <dcterms:created xsi:type="dcterms:W3CDTF">2013-04-01T16:25:39Z</dcterms:created>
  <dcterms:modified xsi:type="dcterms:W3CDTF">2024-12-06T19:23:23Z</dcterms:modified>
</cp:coreProperties>
</file>