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9968" windowHeight="9432"/>
  </bookViews>
  <sheets>
    <sheet name="input" sheetId="1" r:id="rId1"/>
    <sheet name="soil properties" sheetId="7" r:id="rId2"/>
    <sheet name="horiz tot - df to well" sheetId="2" r:id="rId3"/>
    <sheet name="vert - wyoming" sheetId="5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21" i="1" l="1"/>
  <c r="C30" i="1" s="1"/>
  <c r="E6" i="5"/>
  <c r="B9" i="2" l="1"/>
  <c r="B8" i="2"/>
  <c r="B6" i="2"/>
  <c r="B5" i="2"/>
  <c r="B4" i="2"/>
  <c r="F12" i="1" l="1"/>
  <c r="F8" i="1"/>
  <c r="E5" i="5" s="1"/>
  <c r="F11" i="1"/>
  <c r="F10" i="1"/>
  <c r="B7" i="2" s="1"/>
  <c r="E7" i="5" l="1"/>
  <c r="E10" i="5" s="1"/>
  <c r="E11" i="5" s="1"/>
  <c r="E13" i="5" s="1"/>
  <c r="C25" i="1" s="1"/>
  <c r="B28" i="2"/>
  <c r="A26" i="2"/>
  <c r="A27" i="2" s="1"/>
  <c r="B25" i="2"/>
  <c r="B24" i="2"/>
  <c r="A23" i="2"/>
  <c r="B22" i="2"/>
  <c r="B21" i="2"/>
  <c r="B20" i="2"/>
  <c r="B19" i="2"/>
  <c r="B18" i="2"/>
  <c r="B17" i="2"/>
  <c r="B16" i="2"/>
  <c r="B15" i="2"/>
  <c r="F8" i="2"/>
  <c r="F7" i="2"/>
  <c r="F5" i="2"/>
  <c r="F9" i="2" l="1"/>
  <c r="D19" i="2" s="1"/>
  <c r="I5" i="2"/>
  <c r="B27" i="2"/>
  <c r="F6" i="2"/>
  <c r="B26" i="2"/>
  <c r="B23" i="2"/>
  <c r="C24" i="1" l="1"/>
  <c r="C26" i="1" s="1"/>
  <c r="C29" i="1"/>
  <c r="C31" i="1" s="1"/>
  <c r="D18" i="2"/>
  <c r="F18" i="2" s="1"/>
  <c r="D20" i="2"/>
  <c r="E20" i="2" s="1"/>
  <c r="D21" i="2"/>
  <c r="E21" i="2" s="1"/>
  <c r="D25" i="2"/>
  <c r="F25" i="2" s="1"/>
  <c r="D27" i="2"/>
  <c r="F27" i="2" s="1"/>
  <c r="D22" i="2"/>
  <c r="E22" i="2" s="1"/>
  <c r="D24" i="2"/>
  <c r="F24" i="2" s="1"/>
  <c r="D28" i="2"/>
  <c r="F28" i="2" s="1"/>
  <c r="D26" i="2"/>
  <c r="F26" i="2" s="1"/>
  <c r="D15" i="2"/>
  <c r="E15" i="2" s="1"/>
  <c r="D23" i="2"/>
  <c r="F23" i="2" s="1"/>
  <c r="D17" i="2"/>
  <c r="E17" i="2" s="1"/>
  <c r="D16" i="2"/>
  <c r="E16" i="2" s="1"/>
  <c r="E19" i="2"/>
  <c r="F19" i="2"/>
  <c r="E27" i="2" l="1"/>
  <c r="F22" i="2"/>
  <c r="E25" i="2"/>
  <c r="F20" i="2"/>
  <c r="F21" i="2"/>
  <c r="E18" i="2"/>
  <c r="F16" i="2"/>
  <c r="E24" i="2"/>
  <c r="F17" i="2"/>
  <c r="E26" i="2"/>
  <c r="E23" i="2"/>
  <c r="F15" i="2"/>
  <c r="E28" i="2"/>
</calcChain>
</file>

<file path=xl/sharedStrings.xml><?xml version="1.0" encoding="utf-8"?>
<sst xmlns="http://schemas.openxmlformats.org/spreadsheetml/2006/main" count="155" uniqueCount="122">
  <si>
    <t>Time of Travel Calculation</t>
  </si>
  <si>
    <t>User supplies K, b, I, Q, n, and X (distance estimate) to calculate travel time and other parameters.</t>
  </si>
  <si>
    <t>Input Values</t>
  </si>
  <si>
    <t>TOT and Capture Zone Results</t>
  </si>
  <si>
    <t>K=</t>
  </si>
  <si>
    <t>ft/day</t>
  </si>
  <si>
    <t>b=</t>
  </si>
  <si>
    <t>ft</t>
  </si>
  <si>
    <t>Tx</t>
  </si>
  <si>
    <t>Days</t>
  </si>
  <si>
    <t>I=</t>
  </si>
  <si>
    <t>ft/ft</t>
  </si>
  <si>
    <t>Tx (years)</t>
  </si>
  <si>
    <t>Years</t>
  </si>
  <si>
    <t>Q=</t>
  </si>
  <si>
    <t>ft3/day</t>
  </si>
  <si>
    <t>Null Point</t>
  </si>
  <si>
    <t>n=</t>
  </si>
  <si>
    <t>%</t>
  </si>
  <si>
    <t>Boundary Limit</t>
  </si>
  <si>
    <t>X=</t>
  </si>
  <si>
    <t>Flow Velocity</t>
  </si>
  <si>
    <t>Distance Traveled</t>
  </si>
  <si>
    <t>Time of Travel</t>
  </si>
  <si>
    <t>feet</t>
  </si>
  <si>
    <t>miles</t>
  </si>
  <si>
    <t>days</t>
  </si>
  <si>
    <t>months</t>
  </si>
  <si>
    <t>years</t>
  </si>
  <si>
    <t>Control Zone</t>
  </si>
  <si>
    <t>Confined Aquifer Inventory Region</t>
  </si>
  <si>
    <t>General Inventory Region</t>
  </si>
  <si>
    <t>d</t>
  </si>
  <si>
    <t>depth to groundwater</t>
  </si>
  <si>
    <t>cm</t>
  </si>
  <si>
    <t>variable</t>
  </si>
  <si>
    <t>description</t>
  </si>
  <si>
    <t>units</t>
  </si>
  <si>
    <t>gravel</t>
  </si>
  <si>
    <t>gravelly sand</t>
  </si>
  <si>
    <t>very coarse sand</t>
  </si>
  <si>
    <t>loamy sand</t>
  </si>
  <si>
    <t>coarse sand</t>
  </si>
  <si>
    <t>medium sand</t>
  </si>
  <si>
    <t>sandy loam</t>
  </si>
  <si>
    <t>fine sandy loam</t>
  </si>
  <si>
    <t>loam</t>
  </si>
  <si>
    <t>very fine sand</t>
  </si>
  <si>
    <t>sandy clay loam</t>
  </si>
  <si>
    <t>silt loam</t>
  </si>
  <si>
    <t>sandy clay</t>
  </si>
  <si>
    <t>clay loam</t>
  </si>
  <si>
    <t>silty clay loam</t>
  </si>
  <si>
    <t>silt</t>
  </si>
  <si>
    <t>silty clay</t>
  </si>
  <si>
    <t>clay</t>
  </si>
  <si>
    <t>mL/cm3</t>
  </si>
  <si>
    <t xml:space="preserve">Volumetric Soil Moisture Content </t>
  </si>
  <si>
    <t>Effective Pososity</t>
  </si>
  <si>
    <t>Input Parameters</t>
  </si>
  <si>
    <t>K</t>
  </si>
  <si>
    <t>i</t>
  </si>
  <si>
    <t>groundwater gradient</t>
  </si>
  <si>
    <t>n</t>
  </si>
  <si>
    <t>effective soil porosity</t>
  </si>
  <si>
    <t>Q</t>
  </si>
  <si>
    <t>gpd</t>
  </si>
  <si>
    <t>b</t>
  </si>
  <si>
    <t>in/year</t>
  </si>
  <si>
    <t>cm/year</t>
  </si>
  <si>
    <t>p</t>
  </si>
  <si>
    <t>e</t>
  </si>
  <si>
    <t>volumetric soil moisture content</t>
  </si>
  <si>
    <t>dw</t>
  </si>
  <si>
    <t>effluent application rate</t>
  </si>
  <si>
    <t>distance to  drinking water well</t>
  </si>
  <si>
    <t>drinking water well pumping rate</t>
  </si>
  <si>
    <t>annual precipitation</t>
  </si>
  <si>
    <t>gpd/sf</t>
  </si>
  <si>
    <t>hydraulic conductivity</t>
  </si>
  <si>
    <t>logs of inactivation:</t>
  </si>
  <si>
    <t>from EPA Ground Water Rule Source Assessment Guidance Manual, Appendix C</t>
  </si>
  <si>
    <t>viruses are typically 0.02 log10 removal/day</t>
  </si>
  <si>
    <t>soil type</t>
  </si>
  <si>
    <t>a</t>
  </si>
  <si>
    <t>total recharge</t>
  </si>
  <si>
    <t>travel time = (d * v) / (.5 * a)</t>
  </si>
  <si>
    <t>from input page</t>
  </si>
  <si>
    <t>Total travel time</t>
  </si>
  <si>
    <t>Log inactivation</t>
  </si>
  <si>
    <t>aquifer saturated thickness</t>
  </si>
  <si>
    <t>Horizontal travel time</t>
  </si>
  <si>
    <t>logs</t>
  </si>
  <si>
    <t>Vertical travel time - Wyoming</t>
  </si>
  <si>
    <t>Total</t>
  </si>
  <si>
    <t>volumetric soil moisture</t>
  </si>
  <si>
    <t>from non-deg analysis</t>
  </si>
  <si>
    <t>converted</t>
  </si>
  <si>
    <t>from drinking water well log</t>
  </si>
  <si>
    <t>Results with Virulo:</t>
  </si>
  <si>
    <t>Results w/o Virulo:</t>
  </si>
  <si>
    <t>soil depth</t>
  </si>
  <si>
    <t>number of runs</t>
  </si>
  <si>
    <t>highest # of exceedances</t>
  </si>
  <si>
    <t>log equivalent</t>
  </si>
  <si>
    <t>highest value</t>
  </si>
  <si>
    <t>Vertical travel time - virulo</t>
  </si>
  <si>
    <t>m</t>
  </si>
  <si>
    <t>virulo soil type</t>
  </si>
  <si>
    <t>virulo virus</t>
  </si>
  <si>
    <t>triangulated or published data</t>
  </si>
  <si>
    <t>from lot layout - drainfield to well isolation zone</t>
  </si>
  <si>
    <t>local rainfall from NOAA (https://www.ncdc.noaa.gov/cdo-web/datatools/normals)</t>
  </si>
  <si>
    <t>from test pits</t>
  </si>
  <si>
    <t>** see soil properties sheet below</t>
  </si>
  <si>
    <t>depth from bottom of infiltrative surface to either limiting layer or bottom of the test pit</t>
  </si>
  <si>
    <t>Appendix U</t>
  </si>
  <si>
    <t>Pathegen Transport Model</t>
  </si>
  <si>
    <t>estimated demand- well use + irrigation.  Assume 1 living unit uses 250 gpd + irrigaion</t>
  </si>
  <si>
    <t>must run all virus to see the worst case for the soil type</t>
  </si>
  <si>
    <t>minimum of 5 runs/ worst case virus</t>
  </si>
  <si>
    <t xml:space="preserve">depth of soil test pit less trench depth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</si>
</sst>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2" fontId="0" fillId="2" borderId="2" xfId="0" applyNumberFormat="1" applyFill="1" applyBorder="1"/>
    <xf numFmtId="0" fontId="3" fillId="2" borderId="3" xfId="0" applyFont="1" applyFill="1" applyBorder="1"/>
    <xf numFmtId="0" fontId="4" fillId="2" borderId="4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/>
    <xf numFmtId="0" fontId="3" fillId="2" borderId="5" xfId="0" applyFont="1" applyFill="1" applyBorder="1"/>
    <xf numFmtId="2" fontId="3" fillId="3" borderId="6" xfId="0" applyNumberFormat="1" applyFont="1" applyFill="1" applyBorder="1" applyAlignment="1">
      <alignment horizontal="left"/>
    </xf>
    <xf numFmtId="2" fontId="3" fillId="3" borderId="7" xfId="0" applyNumberFormat="1" applyFont="1" applyFill="1" applyBorder="1"/>
    <xf numFmtId="2" fontId="3" fillId="3" borderId="8" xfId="0" applyNumberFormat="1" applyFont="1" applyFill="1" applyBorder="1"/>
    <xf numFmtId="2" fontId="3" fillId="0" borderId="7" xfId="0" applyNumberFormat="1" applyFont="1" applyFill="1" applyBorder="1"/>
    <xf numFmtId="2" fontId="3" fillId="3" borderId="9" xfId="0" applyNumberFormat="1" applyFont="1" applyFill="1" applyBorder="1" applyAlignment="1">
      <alignment horizontal="left"/>
    </xf>
    <xf numFmtId="2" fontId="3" fillId="3" borderId="10" xfId="0" applyNumberFormat="1" applyFont="1" applyFill="1" applyBorder="1"/>
    <xf numFmtId="2" fontId="3" fillId="3" borderId="11" xfId="0" applyNumberFormat="1" applyFont="1" applyFill="1" applyBorder="1"/>
    <xf numFmtId="2" fontId="0" fillId="0" borderId="0" xfId="0" applyNumberFormat="1"/>
    <xf numFmtId="0" fontId="3" fillId="3" borderId="12" xfId="0" applyFont="1" applyFill="1" applyBorder="1" applyAlignment="1">
      <alignment horizontal="center"/>
    </xf>
    <xf numFmtId="0" fontId="3" fillId="4" borderId="13" xfId="0" applyFont="1" applyFill="1" applyBorder="1" applyProtection="1">
      <protection locked="0"/>
    </xf>
    <xf numFmtId="0" fontId="3" fillId="3" borderId="14" xfId="0" applyFont="1" applyFill="1" applyBorder="1"/>
    <xf numFmtId="0" fontId="3" fillId="0" borderId="0" xfId="0" applyFont="1" applyBorder="1"/>
    <xf numFmtId="0" fontId="0" fillId="3" borderId="12" xfId="0" applyFill="1" applyBorder="1" applyAlignment="1">
      <alignment horizontal="left"/>
    </xf>
    <xf numFmtId="2" fontId="0" fillId="5" borderId="15" xfId="0" applyNumberFormat="1" applyFill="1" applyBorder="1"/>
    <xf numFmtId="0" fontId="3" fillId="3" borderId="5" xfId="0" applyFont="1" applyFill="1" applyBorder="1"/>
    <xf numFmtId="0" fontId="3" fillId="3" borderId="16" xfId="0" applyFont="1" applyFill="1" applyBorder="1" applyAlignment="1">
      <alignment horizontal="center"/>
    </xf>
    <xf numFmtId="0" fontId="3" fillId="4" borderId="17" xfId="0" applyFont="1" applyFill="1" applyBorder="1" applyProtection="1">
      <protection locked="0"/>
    </xf>
    <xf numFmtId="0" fontId="3" fillId="3" borderId="16" xfId="0" applyFont="1" applyFill="1" applyBorder="1" applyAlignment="1">
      <alignment horizontal="left"/>
    </xf>
    <xf numFmtId="2" fontId="3" fillId="5" borderId="18" xfId="0" applyNumberFormat="1" applyFont="1" applyFill="1" applyBorder="1"/>
    <xf numFmtId="2" fontId="3" fillId="4" borderId="17" xfId="0" applyNumberFormat="1" applyFont="1" applyFill="1" applyBorder="1" applyProtection="1">
      <protection locked="0"/>
    </xf>
    <xf numFmtId="0" fontId="3" fillId="3" borderId="19" xfId="0" applyFont="1" applyFill="1" applyBorder="1" applyAlignment="1">
      <alignment horizontal="center"/>
    </xf>
    <xf numFmtId="2" fontId="3" fillId="4" borderId="20" xfId="0" applyNumberFormat="1" applyFont="1" applyFill="1" applyBorder="1" applyProtection="1">
      <protection locked="0"/>
    </xf>
    <xf numFmtId="0" fontId="3" fillId="3" borderId="21" xfId="0" applyFont="1" applyFill="1" applyBorder="1"/>
    <xf numFmtId="0" fontId="3" fillId="3" borderId="19" xfId="0" applyFont="1" applyFill="1" applyBorder="1" applyAlignment="1">
      <alignment horizontal="left"/>
    </xf>
    <xf numFmtId="2" fontId="3" fillId="5" borderId="22" xfId="0" applyNumberFormat="1" applyFont="1" applyFill="1" applyBorder="1"/>
    <xf numFmtId="0" fontId="3" fillId="3" borderId="23" xfId="0" applyFont="1" applyFill="1" applyBorder="1"/>
    <xf numFmtId="0" fontId="0" fillId="0" borderId="24" xfId="0" applyBorder="1"/>
    <xf numFmtId="2" fontId="0" fillId="0" borderId="25" xfId="0" applyNumberFormat="1" applyBorder="1"/>
    <xf numFmtId="0" fontId="0" fillId="0" borderId="25" xfId="0" applyBorder="1" applyAlignment="1">
      <alignment horizontal="left"/>
    </xf>
    <xf numFmtId="0" fontId="3" fillId="0" borderId="23" xfId="0" applyFont="1" applyBorder="1"/>
    <xf numFmtId="0" fontId="0" fillId="0" borderId="0" xfId="0" applyAlignment="1">
      <alignment horizontal="left"/>
    </xf>
    <xf numFmtId="2" fontId="3" fillId="0" borderId="0" xfId="0" applyNumberFormat="1" applyFont="1"/>
    <xf numFmtId="0" fontId="0" fillId="2" borderId="26" xfId="0" applyFill="1" applyBorder="1"/>
    <xf numFmtId="0" fontId="0" fillId="2" borderId="28" xfId="0" applyFill="1" applyBorder="1"/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0" xfId="0" applyFill="1" applyBorder="1"/>
    <xf numFmtId="0" fontId="0" fillId="5" borderId="3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3" fontId="3" fillId="4" borderId="32" xfId="0" applyNumberFormat="1" applyFont="1" applyFill="1" applyBorder="1" applyAlignment="1">
      <alignment horizontal="center"/>
    </xf>
    <xf numFmtId="2" fontId="3" fillId="4" borderId="33" xfId="0" applyNumberFormat="1" applyFont="1" applyFill="1" applyBorder="1" applyAlignment="1">
      <alignment horizontal="right"/>
    </xf>
    <xf numFmtId="0" fontId="3" fillId="4" borderId="33" xfId="0" applyFont="1" applyFill="1" applyBorder="1"/>
    <xf numFmtId="164" fontId="3" fillId="4" borderId="33" xfId="0" applyNumberFormat="1" applyFont="1" applyFill="1" applyBorder="1"/>
    <xf numFmtId="164" fontId="3" fillId="4" borderId="34" xfId="0" applyNumberFormat="1" applyFont="1" applyFill="1" applyBorder="1"/>
    <xf numFmtId="2" fontId="3" fillId="4" borderId="35" xfId="0" applyNumberFormat="1" applyFont="1" applyFill="1" applyBorder="1"/>
    <xf numFmtId="0" fontId="3" fillId="0" borderId="0" xfId="0" applyFont="1"/>
    <xf numFmtId="3" fontId="3" fillId="5" borderId="36" xfId="0" applyNumberFormat="1" applyFont="1" applyFill="1" applyBorder="1" applyAlignment="1">
      <alignment horizontal="center"/>
    </xf>
    <xf numFmtId="2" fontId="0" fillId="0" borderId="37" xfId="0" applyNumberFormat="1" applyBorder="1" applyAlignment="1">
      <alignment horizontal="right"/>
    </xf>
    <xf numFmtId="0" fontId="0" fillId="0" borderId="37" xfId="0" applyBorder="1"/>
    <xf numFmtId="164" fontId="0" fillId="0" borderId="37" xfId="0" applyNumberFormat="1" applyBorder="1"/>
    <xf numFmtId="164" fontId="0" fillId="0" borderId="0" xfId="0" applyNumberFormat="1" applyBorder="1"/>
    <xf numFmtId="2" fontId="0" fillId="0" borderId="38" xfId="0" applyNumberFormat="1" applyBorder="1"/>
    <xf numFmtId="3" fontId="3" fillId="5" borderId="16" xfId="0" applyNumberFormat="1" applyFont="1" applyFill="1" applyBorder="1" applyAlignment="1">
      <alignment horizontal="center"/>
    </xf>
    <xf numFmtId="3" fontId="3" fillId="5" borderId="29" xfId="0" applyNumberFormat="1" applyFont="1" applyFill="1" applyBorder="1" applyAlignment="1">
      <alignment horizontal="center"/>
    </xf>
    <xf numFmtId="3" fontId="3" fillId="4" borderId="39" xfId="0" applyNumberFormat="1" applyFont="1" applyFill="1" applyBorder="1" applyAlignment="1">
      <alignment horizontal="center"/>
    </xf>
    <xf numFmtId="2" fontId="3" fillId="4" borderId="40" xfId="0" applyNumberFormat="1" applyFont="1" applyFill="1" applyBorder="1" applyAlignment="1">
      <alignment horizontal="right"/>
    </xf>
    <xf numFmtId="0" fontId="3" fillId="4" borderId="40" xfId="0" applyFont="1" applyFill="1" applyBorder="1"/>
    <xf numFmtId="164" fontId="3" fillId="4" borderId="40" xfId="0" applyNumberFormat="1" applyFont="1" applyFill="1" applyBorder="1"/>
    <xf numFmtId="164" fontId="3" fillId="4" borderId="41" xfId="0" applyNumberFormat="1" applyFont="1" applyFill="1" applyBorder="1"/>
    <xf numFmtId="2" fontId="3" fillId="4" borderId="42" xfId="0" applyNumberFormat="1" applyFont="1" applyFill="1" applyBorder="1"/>
    <xf numFmtId="3" fontId="3" fillId="5" borderId="43" xfId="0" applyNumberFormat="1" applyFont="1" applyFill="1" applyBorder="1" applyAlignment="1">
      <alignment horizontal="center"/>
    </xf>
    <xf numFmtId="2" fontId="5" fillId="0" borderId="37" xfId="0" applyNumberFormat="1" applyFont="1" applyFill="1" applyBorder="1" applyAlignment="1">
      <alignment horizontal="right"/>
    </xf>
    <xf numFmtId="0" fontId="5" fillId="0" borderId="37" xfId="0" applyFont="1" applyFill="1" applyBorder="1"/>
    <xf numFmtId="164" fontId="5" fillId="0" borderId="37" xfId="0" applyNumberFormat="1" applyFont="1" applyFill="1" applyBorder="1"/>
    <xf numFmtId="164" fontId="5" fillId="0" borderId="0" xfId="0" applyNumberFormat="1" applyFont="1" applyBorder="1"/>
    <xf numFmtId="2" fontId="5" fillId="0" borderId="38" xfId="0" applyNumberFormat="1" applyFont="1" applyFill="1" applyBorder="1"/>
    <xf numFmtId="1" fontId="3" fillId="4" borderId="40" xfId="0" applyNumberFormat="1" applyFont="1" applyFill="1" applyBorder="1" applyAlignment="1">
      <alignment horizontal="center"/>
    </xf>
    <xf numFmtId="1" fontId="5" fillId="0" borderId="37" xfId="0" applyNumberFormat="1" applyFont="1" applyFill="1" applyBorder="1" applyAlignment="1">
      <alignment horizontal="center"/>
    </xf>
    <xf numFmtId="1" fontId="5" fillId="0" borderId="37" xfId="0" applyNumberFormat="1" applyFont="1" applyBorder="1" applyAlignment="1">
      <alignment horizontal="center"/>
    </xf>
    <xf numFmtId="0" fontId="5" fillId="0" borderId="37" xfId="0" applyFont="1" applyBorder="1"/>
    <xf numFmtId="164" fontId="5" fillId="0" borderId="37" xfId="0" applyNumberFormat="1" applyFont="1" applyBorder="1"/>
    <xf numFmtId="2" fontId="5" fillId="0" borderId="38" xfId="0" applyNumberFormat="1" applyFont="1" applyBorder="1"/>
    <xf numFmtId="3" fontId="3" fillId="5" borderId="19" xfId="0" applyNumberFormat="1" applyFont="1" applyFill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0" fontId="5" fillId="0" borderId="44" xfId="0" applyFont="1" applyBorder="1"/>
    <xf numFmtId="164" fontId="5" fillId="0" borderId="44" xfId="0" applyNumberFormat="1" applyFont="1" applyBorder="1"/>
    <xf numFmtId="164" fontId="5" fillId="0" borderId="25" xfId="0" applyNumberFormat="1" applyFont="1" applyBorder="1"/>
    <xf numFmtId="2" fontId="5" fillId="0" borderId="45" xfId="0" applyNumberFormat="1" applyFont="1" applyBorder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6" borderId="46" xfId="0" applyFill="1" applyBorder="1" applyAlignment="1">
      <alignment horizontal="center"/>
    </xf>
    <xf numFmtId="165" fontId="3" fillId="4" borderId="17" xfId="0" applyNumberFormat="1" applyFont="1" applyFill="1" applyBorder="1" applyProtection="1">
      <protection locked="0"/>
    </xf>
    <xf numFmtId="0" fontId="6" fillId="7" borderId="0" xfId="0" applyFont="1" applyFill="1"/>
    <xf numFmtId="0" fontId="6" fillId="8" borderId="0" xfId="0" applyFont="1" applyFill="1"/>
    <xf numFmtId="0" fontId="7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9</xdr:row>
          <xdr:rowOff>175260</xdr:rowOff>
        </xdr:from>
        <xdr:to>
          <xdr:col>1</xdr:col>
          <xdr:colOff>556260</xdr:colOff>
          <xdr:row>11</xdr:row>
          <xdr:rowOff>7620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Solve 1 Yr TOT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99060</xdr:colOff>
          <xdr:row>9</xdr:row>
          <xdr:rowOff>175260</xdr:rowOff>
        </xdr:from>
        <xdr:to>
          <xdr:col>4</xdr:col>
          <xdr:colOff>99060</xdr:colOff>
          <xdr:row>11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Solve 3 Yr TOT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236220</xdr:colOff>
          <xdr:row>9</xdr:row>
          <xdr:rowOff>175260</xdr:rowOff>
        </xdr:from>
        <xdr:to>
          <xdr:col>5</xdr:col>
          <xdr:colOff>601980</xdr:colOff>
          <xdr:row>11</xdr:row>
          <xdr:rowOff>7620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Costom Tx TOT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5959\AppData\Local\Microsoft\Windows\INetCache\Content.Outlook\UIESVOGC\reviews\florence%20town%20pump%20to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TOT- Single Senario"/>
      <sheetName val="TOT- Multiple Senarios"/>
      <sheetName val="TOT Radius  - Cylinder Volume"/>
      <sheetName val="Conversions"/>
      <sheetName val="TOT Illustrations"/>
      <sheetName val="florence town pump tot"/>
    </sheetNames>
    <definedNames>
      <definedName name="Solve_1TOT1"/>
      <definedName name="Solve_1TOT3"/>
      <definedName name="Solve_CustomTO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9" sqref="I9"/>
    </sheetView>
  </sheetViews>
  <sheetFormatPr defaultRowHeight="14.4" x14ac:dyDescent="0.3"/>
  <cols>
    <col min="2" max="2" width="27.44140625" customWidth="1"/>
    <col min="4" max="4" width="11.88671875" customWidth="1"/>
    <col min="5" max="5" width="8.88671875" style="95"/>
  </cols>
  <sheetData>
    <row r="1" spans="1:8" ht="15" x14ac:dyDescent="0.25">
      <c r="B1" s="106" t="s">
        <v>116</v>
      </c>
    </row>
    <row r="2" spans="1:8" ht="15" x14ac:dyDescent="0.25">
      <c r="B2" s="106" t="s">
        <v>117</v>
      </c>
    </row>
    <row r="4" spans="1:8" x14ac:dyDescent="0.3">
      <c r="A4" s="96" t="s">
        <v>59</v>
      </c>
      <c r="B4" s="96"/>
      <c r="C4" s="96" t="s">
        <v>37</v>
      </c>
      <c r="D4" s="100"/>
      <c r="E4" s="100"/>
      <c r="F4" s="96" t="s">
        <v>97</v>
      </c>
    </row>
    <row r="5" spans="1:8" ht="15.6" customHeight="1" x14ac:dyDescent="0.3">
      <c r="A5" t="s">
        <v>60</v>
      </c>
      <c r="B5" s="91" t="s">
        <v>79</v>
      </c>
      <c r="C5" t="s">
        <v>5</v>
      </c>
      <c r="D5" s="102"/>
      <c r="H5" t="s">
        <v>96</v>
      </c>
    </row>
    <row r="6" spans="1:8" ht="15.6" customHeight="1" x14ac:dyDescent="0.3">
      <c r="A6" t="s">
        <v>61</v>
      </c>
      <c r="B6" s="91" t="s">
        <v>62</v>
      </c>
      <c r="C6" t="s">
        <v>11</v>
      </c>
      <c r="D6" s="102"/>
      <c r="H6" t="s">
        <v>110</v>
      </c>
    </row>
    <row r="7" spans="1:8" ht="15.6" customHeight="1" x14ac:dyDescent="0.3">
      <c r="A7" t="s">
        <v>67</v>
      </c>
      <c r="B7" s="91" t="s">
        <v>90</v>
      </c>
      <c r="C7" t="s">
        <v>7</v>
      </c>
      <c r="D7" s="102"/>
      <c r="H7" t="s">
        <v>98</v>
      </c>
    </row>
    <row r="8" spans="1:8" ht="15.6" customHeight="1" x14ac:dyDescent="0.3">
      <c r="A8" t="s">
        <v>32</v>
      </c>
      <c r="B8" s="91" t="s">
        <v>33</v>
      </c>
      <c r="C8" t="s">
        <v>24</v>
      </c>
      <c r="D8" s="102"/>
      <c r="E8" s="95" t="s">
        <v>34</v>
      </c>
      <c r="F8">
        <f>+D8*30.48</f>
        <v>0</v>
      </c>
      <c r="H8" t="s">
        <v>121</v>
      </c>
    </row>
    <row r="9" spans="1:8" ht="15.6" customHeight="1" x14ac:dyDescent="0.3">
      <c r="A9" t="s">
        <v>73</v>
      </c>
      <c r="B9" s="91" t="s">
        <v>75</v>
      </c>
      <c r="C9" t="s">
        <v>7</v>
      </c>
      <c r="D9" s="102"/>
      <c r="H9" t="s">
        <v>111</v>
      </c>
    </row>
    <row r="10" spans="1:8" ht="15.6" customHeight="1" x14ac:dyDescent="0.3">
      <c r="A10" t="s">
        <v>65</v>
      </c>
      <c r="B10" s="91" t="s">
        <v>76</v>
      </c>
      <c r="C10" t="s">
        <v>66</v>
      </c>
      <c r="D10" s="102"/>
      <c r="E10" s="95" t="s">
        <v>15</v>
      </c>
      <c r="F10">
        <f>+D10/7.481</f>
        <v>0</v>
      </c>
      <c r="H10" t="s">
        <v>118</v>
      </c>
    </row>
    <row r="11" spans="1:8" ht="15.6" customHeight="1" x14ac:dyDescent="0.3">
      <c r="A11" t="s">
        <v>70</v>
      </c>
      <c r="B11" s="91" t="s">
        <v>77</v>
      </c>
      <c r="C11" t="s">
        <v>68</v>
      </c>
      <c r="D11" s="102"/>
      <c r="E11" s="95" t="s">
        <v>69</v>
      </c>
      <c r="F11">
        <f>+D11*2.54</f>
        <v>0</v>
      </c>
      <c r="H11" t="s">
        <v>112</v>
      </c>
    </row>
    <row r="12" spans="1:8" ht="15.6" customHeight="1" x14ac:dyDescent="0.3">
      <c r="A12" t="s">
        <v>71</v>
      </c>
      <c r="B12" s="91" t="s">
        <v>74</v>
      </c>
      <c r="C12" t="s">
        <v>78</v>
      </c>
      <c r="D12" s="102"/>
      <c r="E12" s="95" t="s">
        <v>69</v>
      </c>
      <c r="F12">
        <f>+D12*1487</f>
        <v>0</v>
      </c>
      <c r="H12" t="s">
        <v>113</v>
      </c>
    </row>
    <row r="13" spans="1:8" ht="15.6" customHeight="1" x14ac:dyDescent="0.3">
      <c r="B13" s="98" t="s">
        <v>83</v>
      </c>
      <c r="D13" s="102"/>
      <c r="H13" t="s">
        <v>113</v>
      </c>
    </row>
    <row r="14" spans="1:8" ht="15.6" customHeight="1" x14ac:dyDescent="0.3">
      <c r="A14" t="s">
        <v>63</v>
      </c>
      <c r="B14" s="91" t="s">
        <v>64</v>
      </c>
      <c r="C14" t="s">
        <v>18</v>
      </c>
      <c r="D14" s="102"/>
      <c r="H14" t="s">
        <v>114</v>
      </c>
    </row>
    <row r="15" spans="1:8" ht="15.6" customHeight="1" x14ac:dyDescent="0.3">
      <c r="A15">
        <v>4.4999999999999998E-2</v>
      </c>
      <c r="B15" s="91" t="s">
        <v>72</v>
      </c>
      <c r="C15" t="s">
        <v>56</v>
      </c>
      <c r="D15" s="102"/>
      <c r="H15" t="s">
        <v>114</v>
      </c>
    </row>
    <row r="16" spans="1:8" ht="15.6" customHeight="1" x14ac:dyDescent="0.3">
      <c r="B16" s="96" t="s">
        <v>108</v>
      </c>
      <c r="D16" s="102"/>
      <c r="E16"/>
      <c r="H16" t="s">
        <v>113</v>
      </c>
    </row>
    <row r="17" spans="1:8" ht="15.6" customHeight="1" x14ac:dyDescent="0.3">
      <c r="B17" t="s">
        <v>101</v>
      </c>
      <c r="C17" t="s">
        <v>107</v>
      </c>
      <c r="D17" s="102"/>
      <c r="E17"/>
      <c r="H17" t="s">
        <v>115</v>
      </c>
    </row>
    <row r="18" spans="1:8" ht="15.6" customHeight="1" x14ac:dyDescent="0.3">
      <c r="B18" t="s">
        <v>109</v>
      </c>
      <c r="D18" s="102"/>
      <c r="E18"/>
      <c r="H18" t="s">
        <v>119</v>
      </c>
    </row>
    <row r="19" spans="1:8" ht="15.6" customHeight="1" x14ac:dyDescent="0.3">
      <c r="B19" t="s">
        <v>102</v>
      </c>
      <c r="D19" s="102"/>
      <c r="E19"/>
      <c r="H19" t="s">
        <v>120</v>
      </c>
    </row>
    <row r="20" spans="1:8" x14ac:dyDescent="0.3">
      <c r="B20" t="s">
        <v>103</v>
      </c>
      <c r="D20" s="102"/>
      <c r="E20"/>
      <c r="H20" t="s">
        <v>105</v>
      </c>
    </row>
    <row r="21" spans="1:8" x14ac:dyDescent="0.3">
      <c r="B21" s="98" t="s">
        <v>104</v>
      </c>
      <c r="C21" s="98"/>
      <c r="D21" s="101" t="e">
        <f>+(LOG(D20/1000000))*-1</f>
        <v>#NUM!</v>
      </c>
    </row>
    <row r="22" spans="1:8" x14ac:dyDescent="0.3">
      <c r="A22" s="96"/>
      <c r="B22" s="99"/>
    </row>
    <row r="23" spans="1:8" x14ac:dyDescent="0.3">
      <c r="B23" s="105" t="s">
        <v>100</v>
      </c>
      <c r="C23" s="89"/>
      <c r="D23" s="89"/>
    </row>
    <row r="24" spans="1:8" x14ac:dyDescent="0.3">
      <c r="B24" t="s">
        <v>91</v>
      </c>
      <c r="C24" s="89" t="e">
        <f>+'horiz tot - df to well'!I5</f>
        <v>#DIV/0!</v>
      </c>
      <c r="D24" s="41" t="s">
        <v>92</v>
      </c>
    </row>
    <row r="25" spans="1:8" x14ac:dyDescent="0.3">
      <c r="B25" s="41" t="s">
        <v>93</v>
      </c>
      <c r="C25" s="89" t="e">
        <f>+'vert - wyoming'!E13</f>
        <v>#DIV/0!</v>
      </c>
      <c r="D25" s="41" t="s">
        <v>92</v>
      </c>
    </row>
    <row r="26" spans="1:8" x14ac:dyDescent="0.3">
      <c r="B26" s="96" t="s">
        <v>94</v>
      </c>
      <c r="C26" s="96" t="e">
        <f>+SUM(C24:C25)</f>
        <v>#DIV/0!</v>
      </c>
      <c r="D26" s="96" t="s">
        <v>92</v>
      </c>
    </row>
    <row r="28" spans="1:8" x14ac:dyDescent="0.3">
      <c r="B28" s="104" t="s">
        <v>99</v>
      </c>
    </row>
    <row r="29" spans="1:8" x14ac:dyDescent="0.3">
      <c r="B29" t="s">
        <v>91</v>
      </c>
      <c r="C29" s="89" t="e">
        <f>+'horiz tot - df to well'!I5</f>
        <v>#DIV/0!</v>
      </c>
      <c r="D29" s="41" t="s">
        <v>92</v>
      </c>
    </row>
    <row r="30" spans="1:8" x14ac:dyDescent="0.3">
      <c r="B30" t="s">
        <v>106</v>
      </c>
      <c r="C30" t="e">
        <f>+D21</f>
        <v>#NUM!</v>
      </c>
    </row>
    <row r="31" spans="1:8" x14ac:dyDescent="0.3">
      <c r="B31" s="96" t="s">
        <v>94</v>
      </c>
      <c r="C31" s="96" t="e">
        <f>+SUM(C29:C30)</f>
        <v>#DIV/0!</v>
      </c>
      <c r="D31" s="96" t="s">
        <v>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7" sqref="C7"/>
    </sheetView>
  </sheetViews>
  <sheetFormatPr defaultRowHeight="14.4" x14ac:dyDescent="0.3"/>
  <cols>
    <col min="1" max="1" width="19.5546875" customWidth="1"/>
    <col min="2" max="3" width="24.44140625" style="89" customWidth="1"/>
  </cols>
  <sheetData>
    <row r="2" spans="1:3" ht="34.950000000000003" customHeight="1" x14ac:dyDescent="0.3">
      <c r="A2" s="92"/>
      <c r="B2" s="94" t="s">
        <v>57</v>
      </c>
      <c r="C2" s="94" t="s">
        <v>58</v>
      </c>
    </row>
    <row r="3" spans="1:3" x14ac:dyDescent="0.3">
      <c r="A3" s="92"/>
      <c r="B3" s="93" t="s">
        <v>56</v>
      </c>
      <c r="C3" s="93" t="s">
        <v>18</v>
      </c>
    </row>
    <row r="4" spans="1:3" x14ac:dyDescent="0.3">
      <c r="A4" s="92" t="s">
        <v>38</v>
      </c>
      <c r="B4" s="93">
        <v>4.4999999999999998E-2</v>
      </c>
      <c r="C4" s="93">
        <v>0.32</v>
      </c>
    </row>
    <row r="5" spans="1:3" x14ac:dyDescent="0.3">
      <c r="A5" s="92" t="s">
        <v>39</v>
      </c>
      <c r="B5" s="93"/>
      <c r="C5" s="93">
        <v>0.315</v>
      </c>
    </row>
    <row r="6" spans="1:3" x14ac:dyDescent="0.3">
      <c r="A6" s="92" t="s">
        <v>40</v>
      </c>
      <c r="B6" s="93"/>
      <c r="C6" s="93">
        <v>0.35</v>
      </c>
    </row>
    <row r="7" spans="1:3" x14ac:dyDescent="0.3">
      <c r="A7" s="92" t="s">
        <v>41</v>
      </c>
      <c r="B7" s="93"/>
      <c r="C7" s="93">
        <v>0.41</v>
      </c>
    </row>
    <row r="8" spans="1:3" x14ac:dyDescent="0.3">
      <c r="A8" s="92" t="s">
        <v>42</v>
      </c>
      <c r="B8" s="93"/>
      <c r="C8" s="93">
        <v>0.34499999999999997</v>
      </c>
    </row>
    <row r="9" spans="1:3" x14ac:dyDescent="0.3">
      <c r="A9" s="92" t="s">
        <v>43</v>
      </c>
      <c r="B9" s="93">
        <v>6.2E-2</v>
      </c>
      <c r="C9" s="93">
        <v>0.35</v>
      </c>
    </row>
    <row r="10" spans="1:3" x14ac:dyDescent="0.3">
      <c r="A10" s="92" t="s">
        <v>44</v>
      </c>
      <c r="B10" s="93">
        <v>0.19</v>
      </c>
      <c r="C10" s="93">
        <v>0.41199999999999998</v>
      </c>
    </row>
    <row r="11" spans="1:3" x14ac:dyDescent="0.3">
      <c r="A11" s="92" t="s">
        <v>45</v>
      </c>
      <c r="B11" s="93"/>
      <c r="C11" s="93">
        <v>0.41499999999999998</v>
      </c>
    </row>
    <row r="12" spans="1:3" x14ac:dyDescent="0.3">
      <c r="A12" s="92" t="s">
        <v>46</v>
      </c>
      <c r="B12" s="93">
        <v>0.23200000000000001</v>
      </c>
      <c r="C12" s="93">
        <v>0.434</v>
      </c>
    </row>
    <row r="13" spans="1:3" x14ac:dyDescent="0.3">
      <c r="A13" s="92" t="s">
        <v>47</v>
      </c>
      <c r="B13" s="93"/>
      <c r="C13" s="93">
        <v>0.4</v>
      </c>
    </row>
    <row r="14" spans="1:3" x14ac:dyDescent="0.3">
      <c r="A14" s="92" t="s">
        <v>48</v>
      </c>
      <c r="B14" s="93">
        <v>0.24399999999999999</v>
      </c>
      <c r="C14" s="93">
        <v>0.33</v>
      </c>
    </row>
    <row r="15" spans="1:3" x14ac:dyDescent="0.3">
      <c r="A15" s="92" t="s">
        <v>49</v>
      </c>
      <c r="B15" s="93">
        <v>0.28399999999999997</v>
      </c>
      <c r="C15" s="93">
        <v>0.48599999999999999</v>
      </c>
    </row>
    <row r="16" spans="1:3" x14ac:dyDescent="0.3">
      <c r="A16" s="92" t="s">
        <v>51</v>
      </c>
      <c r="B16" s="93">
        <v>0.31</v>
      </c>
      <c r="C16" s="93">
        <v>0.309</v>
      </c>
    </row>
    <row r="17" spans="1:3" x14ac:dyDescent="0.3">
      <c r="A17" s="92" t="s">
        <v>52</v>
      </c>
      <c r="B17" s="93">
        <v>0.34200000000000003</v>
      </c>
      <c r="C17" s="93">
        <v>0.34200000000000003</v>
      </c>
    </row>
    <row r="18" spans="1:3" x14ac:dyDescent="0.3">
      <c r="A18" s="92" t="s">
        <v>50</v>
      </c>
      <c r="B18" s="93">
        <v>0.32100000000000001</v>
      </c>
      <c r="C18" s="93">
        <v>0.35</v>
      </c>
    </row>
    <row r="19" spans="1:3" x14ac:dyDescent="0.3">
      <c r="A19" s="92" t="s">
        <v>55</v>
      </c>
      <c r="B19" s="93">
        <v>0.378</v>
      </c>
      <c r="C19" s="93">
        <v>0.38500000000000001</v>
      </c>
    </row>
    <row r="20" spans="1:3" x14ac:dyDescent="0.3">
      <c r="A20" s="92" t="s">
        <v>53</v>
      </c>
      <c r="B20" s="93"/>
      <c r="C20" s="93">
        <v>0.42499999999999999</v>
      </c>
    </row>
    <row r="21" spans="1:3" x14ac:dyDescent="0.3">
      <c r="A21" s="92" t="s">
        <v>54</v>
      </c>
      <c r="B21" s="93">
        <v>0.371</v>
      </c>
      <c r="C21" s="93">
        <v>0.42299999999999999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workbookViewId="0">
      <selection activeCell="I5" sqref="I5"/>
    </sheetView>
  </sheetViews>
  <sheetFormatPr defaultRowHeight="14.4" x14ac:dyDescent="0.3"/>
  <sheetData>
    <row r="1" spans="1:9" ht="15" thickTop="1" x14ac:dyDescent="0.3">
      <c r="A1" s="1" t="s">
        <v>0</v>
      </c>
      <c r="B1" s="2"/>
      <c r="C1" s="2"/>
      <c r="D1" s="2"/>
      <c r="E1" s="3"/>
      <c r="F1" s="4"/>
      <c r="G1" s="5"/>
    </row>
    <row r="2" spans="1:9" ht="15" thickBot="1" x14ac:dyDescent="0.35">
      <c r="A2" s="6" t="s">
        <v>1</v>
      </c>
      <c r="B2" s="7"/>
      <c r="C2" s="7"/>
      <c r="D2" s="7"/>
      <c r="E2" s="8"/>
      <c r="F2" s="9"/>
      <c r="G2" s="10"/>
    </row>
    <row r="3" spans="1:9" ht="15.6" thickTop="1" thickBot="1" x14ac:dyDescent="0.35">
      <c r="A3" s="11" t="s">
        <v>2</v>
      </c>
      <c r="B3" s="12"/>
      <c r="C3" s="13"/>
      <c r="D3" s="14"/>
      <c r="E3" s="15" t="s">
        <v>3</v>
      </c>
      <c r="F3" s="16"/>
      <c r="G3" s="17"/>
      <c r="H3" s="18"/>
    </row>
    <row r="4" spans="1:9" ht="15" thickTop="1" x14ac:dyDescent="0.3">
      <c r="A4" s="19" t="s">
        <v>4</v>
      </c>
      <c r="B4" s="20">
        <f>+input!D5</f>
        <v>0</v>
      </c>
      <c r="C4" s="21" t="s">
        <v>5</v>
      </c>
      <c r="D4" s="22"/>
      <c r="E4" s="23"/>
      <c r="F4" s="24"/>
      <c r="G4" s="25"/>
      <c r="I4" s="96" t="s">
        <v>80</v>
      </c>
    </row>
    <row r="5" spans="1:9" x14ac:dyDescent="0.3">
      <c r="A5" s="26" t="s">
        <v>6</v>
      </c>
      <c r="B5" s="27">
        <f>+input!D7</f>
        <v>0</v>
      </c>
      <c r="C5" s="21" t="s">
        <v>7</v>
      </c>
      <c r="D5" s="22"/>
      <c r="E5" s="28" t="s">
        <v>8</v>
      </c>
      <c r="F5" s="29" t="e">
        <f>(B8/(B4*B6))*(B9-(1/(2*PI()*B4*B5*B6/B7)*(LN(1+(2*PI()*B4*B5*B6/B7)*B9))))</f>
        <v>#DIV/0!</v>
      </c>
      <c r="G5" s="25" t="s">
        <v>9</v>
      </c>
      <c r="I5" s="96" t="e">
        <f>0.02*F5</f>
        <v>#DIV/0!</v>
      </c>
    </row>
    <row r="6" spans="1:9" x14ac:dyDescent="0.3">
      <c r="A6" s="26" t="s">
        <v>10</v>
      </c>
      <c r="B6" s="103">
        <f>+input!D6</f>
        <v>0</v>
      </c>
      <c r="C6" s="21" t="s">
        <v>11</v>
      </c>
      <c r="D6" s="22"/>
      <c r="E6" s="28" t="s">
        <v>12</v>
      </c>
      <c r="F6" s="29" t="e">
        <f>F5/365</f>
        <v>#DIV/0!</v>
      </c>
      <c r="G6" s="25" t="s">
        <v>13</v>
      </c>
    </row>
    <row r="7" spans="1:9" x14ac:dyDescent="0.3">
      <c r="A7" s="26" t="s">
        <v>14</v>
      </c>
      <c r="B7" s="30">
        <f>+input!F10</f>
        <v>0</v>
      </c>
      <c r="C7" s="21" t="s">
        <v>15</v>
      </c>
      <c r="D7" s="22"/>
      <c r="E7" s="28" t="s">
        <v>16</v>
      </c>
      <c r="F7" s="29" t="e">
        <f>-B7/(2*PI()*B4*B5*B6)</f>
        <v>#DIV/0!</v>
      </c>
      <c r="G7" s="25" t="s">
        <v>7</v>
      </c>
      <c r="I7" t="s">
        <v>81</v>
      </c>
    </row>
    <row r="8" spans="1:9" x14ac:dyDescent="0.3">
      <c r="A8" s="26" t="s">
        <v>17</v>
      </c>
      <c r="B8" s="30">
        <f>+input!D14</f>
        <v>0</v>
      </c>
      <c r="C8" s="21" t="s">
        <v>18</v>
      </c>
      <c r="D8" s="22"/>
      <c r="E8" s="28" t="s">
        <v>19</v>
      </c>
      <c r="F8" s="29" t="e">
        <f>B7/(2*B4*B5*B6)</f>
        <v>#DIV/0!</v>
      </c>
      <c r="G8" s="25" t="s">
        <v>7</v>
      </c>
      <c r="I8" t="s">
        <v>82</v>
      </c>
    </row>
    <row r="9" spans="1:9" ht="15" thickBot="1" x14ac:dyDescent="0.35">
      <c r="A9" s="31" t="s">
        <v>20</v>
      </c>
      <c r="B9" s="32">
        <f>+input!D9</f>
        <v>0</v>
      </c>
      <c r="C9" s="33" t="s">
        <v>7</v>
      </c>
      <c r="D9" s="22"/>
      <c r="E9" s="34" t="s">
        <v>21</v>
      </c>
      <c r="F9" s="35" t="e">
        <f>B9/F5</f>
        <v>#DIV/0!</v>
      </c>
      <c r="G9" s="36" t="s">
        <v>5</v>
      </c>
    </row>
    <row r="10" spans="1:9" ht="15.6" thickTop="1" thickBot="1" x14ac:dyDescent="0.35">
      <c r="A10" s="37"/>
      <c r="B10" s="38"/>
      <c r="C10" s="38"/>
      <c r="D10" s="38"/>
      <c r="E10" s="39"/>
      <c r="F10" s="38"/>
      <c r="G10" s="40"/>
    </row>
    <row r="11" spans="1:9" ht="15" thickTop="1" x14ac:dyDescent="0.3">
      <c r="C11" s="18"/>
      <c r="E11" s="41"/>
      <c r="F11" s="42"/>
      <c r="G11" s="42"/>
    </row>
    <row r="12" spans="1:9" ht="15" thickBot="1" x14ac:dyDescent="0.35">
      <c r="G12" s="18"/>
      <c r="H12" s="18"/>
    </row>
    <row r="13" spans="1:9" ht="15" thickTop="1" x14ac:dyDescent="0.3">
      <c r="A13" s="107" t="s">
        <v>22</v>
      </c>
      <c r="B13" s="108"/>
      <c r="C13" s="43"/>
      <c r="D13" s="108" t="s">
        <v>23</v>
      </c>
      <c r="E13" s="109"/>
      <c r="F13" s="44"/>
      <c r="H13" s="18"/>
    </row>
    <row r="14" spans="1:9" ht="15" thickBot="1" x14ac:dyDescent="0.35">
      <c r="A14" s="45" t="s">
        <v>24</v>
      </c>
      <c r="B14" s="46" t="s">
        <v>25</v>
      </c>
      <c r="C14" s="47"/>
      <c r="D14" s="46" t="s">
        <v>26</v>
      </c>
      <c r="E14" s="48" t="s">
        <v>27</v>
      </c>
      <c r="F14" s="49" t="s">
        <v>28</v>
      </c>
    </row>
    <row r="15" spans="1:9" ht="15.6" thickTop="1" thickBot="1" x14ac:dyDescent="0.35">
      <c r="A15" s="50">
        <v>100</v>
      </c>
      <c r="B15" s="51">
        <f>A15/5280</f>
        <v>1.893939393939394E-2</v>
      </c>
      <c r="C15" s="52"/>
      <c r="D15" s="53" t="e">
        <f>A15/$F$9</f>
        <v>#DIV/0!</v>
      </c>
      <c r="E15" s="54" t="e">
        <f>D15/30</f>
        <v>#DIV/0!</v>
      </c>
      <c r="F15" s="55" t="e">
        <f t="shared" ref="F15:F28" si="0">D15/365</f>
        <v>#DIV/0!</v>
      </c>
      <c r="G15" s="56" t="s">
        <v>29</v>
      </c>
      <c r="H15" s="18"/>
    </row>
    <row r="16" spans="1:9" x14ac:dyDescent="0.3">
      <c r="A16" s="57">
        <v>200</v>
      </c>
      <c r="B16" s="58">
        <f t="shared" ref="B16:B28" si="1">A16/5280</f>
        <v>3.787878787878788E-2</v>
      </c>
      <c r="C16" s="59"/>
      <c r="D16" s="60" t="e">
        <f t="shared" ref="D16:D28" si="2">A16/$F$9</f>
        <v>#DIV/0!</v>
      </c>
      <c r="E16" s="61" t="e">
        <f t="shared" ref="E16:E28" si="3">D16/30</f>
        <v>#DIV/0!</v>
      </c>
      <c r="F16" s="62" t="e">
        <f t="shared" si="0"/>
        <v>#DIV/0!</v>
      </c>
    </row>
    <row r="17" spans="1:7" x14ac:dyDescent="0.3">
      <c r="A17" s="63">
        <v>300</v>
      </c>
      <c r="B17" s="58">
        <f t="shared" si="1"/>
        <v>5.6818181818181816E-2</v>
      </c>
      <c r="C17" s="59"/>
      <c r="D17" s="60" t="e">
        <f t="shared" si="2"/>
        <v>#DIV/0!</v>
      </c>
      <c r="E17" s="61" t="e">
        <f t="shared" si="3"/>
        <v>#DIV/0!</v>
      </c>
      <c r="F17" s="62" t="e">
        <f t="shared" si="0"/>
        <v>#DIV/0!</v>
      </c>
    </row>
    <row r="18" spans="1:7" x14ac:dyDescent="0.3">
      <c r="A18" s="63">
        <v>400</v>
      </c>
      <c r="B18" s="58">
        <f t="shared" si="1"/>
        <v>7.575757575757576E-2</v>
      </c>
      <c r="C18" s="59"/>
      <c r="D18" s="60" t="e">
        <f t="shared" si="2"/>
        <v>#DIV/0!</v>
      </c>
      <c r="E18" s="61" t="e">
        <f t="shared" si="3"/>
        <v>#DIV/0!</v>
      </c>
      <c r="F18" s="62" t="e">
        <f t="shared" si="0"/>
        <v>#DIV/0!</v>
      </c>
    </row>
    <row r="19" spans="1:7" ht="15" thickBot="1" x14ac:dyDescent="0.35">
      <c r="A19" s="64">
        <v>500</v>
      </c>
      <c r="B19" s="58">
        <f t="shared" si="1"/>
        <v>9.4696969696969696E-2</v>
      </c>
      <c r="C19" s="59"/>
      <c r="D19" s="60" t="e">
        <f t="shared" si="2"/>
        <v>#DIV/0!</v>
      </c>
      <c r="E19" s="61" t="e">
        <f t="shared" si="3"/>
        <v>#DIV/0!</v>
      </c>
      <c r="F19" s="62" t="e">
        <f t="shared" si="0"/>
        <v>#DIV/0!</v>
      </c>
    </row>
    <row r="20" spans="1:7" ht="15" thickBot="1" x14ac:dyDescent="0.35">
      <c r="A20" s="65">
        <v>1000</v>
      </c>
      <c r="B20" s="66">
        <f t="shared" si="1"/>
        <v>0.18939393939393939</v>
      </c>
      <c r="C20" s="67"/>
      <c r="D20" s="68" t="e">
        <f t="shared" si="2"/>
        <v>#DIV/0!</v>
      </c>
      <c r="E20" s="69" t="e">
        <f t="shared" si="3"/>
        <v>#DIV/0!</v>
      </c>
      <c r="F20" s="70" t="e">
        <f t="shared" si="0"/>
        <v>#DIV/0!</v>
      </c>
      <c r="G20" s="56" t="s">
        <v>30</v>
      </c>
    </row>
    <row r="21" spans="1:7" ht="15" thickBot="1" x14ac:dyDescent="0.35">
      <c r="A21" s="71">
        <v>2640</v>
      </c>
      <c r="B21" s="72">
        <f t="shared" si="1"/>
        <v>0.5</v>
      </c>
      <c r="C21" s="73"/>
      <c r="D21" s="74" t="e">
        <f t="shared" si="2"/>
        <v>#DIV/0!</v>
      </c>
      <c r="E21" s="75" t="e">
        <f t="shared" si="3"/>
        <v>#DIV/0!</v>
      </c>
      <c r="F21" s="76" t="e">
        <f t="shared" si="0"/>
        <v>#DIV/0!</v>
      </c>
    </row>
    <row r="22" spans="1:7" ht="15" thickBot="1" x14ac:dyDescent="0.35">
      <c r="A22" s="65">
        <v>5280</v>
      </c>
      <c r="B22" s="77">
        <f t="shared" si="1"/>
        <v>1</v>
      </c>
      <c r="C22" s="67"/>
      <c r="D22" s="68" t="e">
        <f t="shared" si="2"/>
        <v>#DIV/0!</v>
      </c>
      <c r="E22" s="69" t="e">
        <f t="shared" si="3"/>
        <v>#DIV/0!</v>
      </c>
      <c r="F22" s="70" t="e">
        <f t="shared" si="0"/>
        <v>#DIV/0!</v>
      </c>
      <c r="G22" s="56" t="s">
        <v>31</v>
      </c>
    </row>
    <row r="23" spans="1:7" x14ac:dyDescent="0.3">
      <c r="A23" s="57">
        <f>A22+A21</f>
        <v>7920</v>
      </c>
      <c r="B23" s="78">
        <f t="shared" si="1"/>
        <v>1.5</v>
      </c>
      <c r="C23" s="73"/>
      <c r="D23" s="74" t="e">
        <f>A23/$F$9</f>
        <v>#DIV/0!</v>
      </c>
      <c r="E23" s="75" t="e">
        <f t="shared" si="3"/>
        <v>#DIV/0!</v>
      </c>
      <c r="F23" s="76" t="e">
        <f t="shared" si="0"/>
        <v>#DIV/0!</v>
      </c>
    </row>
    <row r="24" spans="1:7" x14ac:dyDescent="0.3">
      <c r="A24" s="63">
        <v>10560</v>
      </c>
      <c r="B24" s="79">
        <f t="shared" si="1"/>
        <v>2</v>
      </c>
      <c r="C24" s="80"/>
      <c r="D24" s="81" t="e">
        <f t="shared" si="2"/>
        <v>#DIV/0!</v>
      </c>
      <c r="E24" s="75" t="e">
        <f t="shared" si="3"/>
        <v>#DIV/0!</v>
      </c>
      <c r="F24" s="82" t="e">
        <f t="shared" si="0"/>
        <v>#DIV/0!</v>
      </c>
    </row>
    <row r="25" spans="1:7" x14ac:dyDescent="0.3">
      <c r="A25" s="63">
        <v>15840</v>
      </c>
      <c r="B25" s="79">
        <f t="shared" si="1"/>
        <v>3</v>
      </c>
      <c r="C25" s="80"/>
      <c r="D25" s="81" t="e">
        <f t="shared" si="2"/>
        <v>#DIV/0!</v>
      </c>
      <c r="E25" s="75" t="e">
        <f t="shared" si="3"/>
        <v>#DIV/0!</v>
      </c>
      <c r="F25" s="82" t="e">
        <f t="shared" si="0"/>
        <v>#DIV/0!</v>
      </c>
    </row>
    <row r="26" spans="1:7" x14ac:dyDescent="0.3">
      <c r="A26" s="63">
        <f>A25+5280</f>
        <v>21120</v>
      </c>
      <c r="B26" s="79">
        <f t="shared" si="1"/>
        <v>4</v>
      </c>
      <c r="C26" s="80"/>
      <c r="D26" s="81" t="e">
        <f t="shared" si="2"/>
        <v>#DIV/0!</v>
      </c>
      <c r="E26" s="75" t="e">
        <f t="shared" si="3"/>
        <v>#DIV/0!</v>
      </c>
      <c r="F26" s="82" t="e">
        <f t="shared" si="0"/>
        <v>#DIV/0!</v>
      </c>
    </row>
    <row r="27" spans="1:7" x14ac:dyDescent="0.3">
      <c r="A27" s="63">
        <f>A26+5280</f>
        <v>26400</v>
      </c>
      <c r="B27" s="79">
        <f t="shared" si="1"/>
        <v>5</v>
      </c>
      <c r="C27" s="80"/>
      <c r="D27" s="81" t="e">
        <f t="shared" si="2"/>
        <v>#DIV/0!</v>
      </c>
      <c r="E27" s="75" t="e">
        <f t="shared" si="3"/>
        <v>#DIV/0!</v>
      </c>
      <c r="F27" s="82" t="e">
        <f t="shared" si="0"/>
        <v>#DIV/0!</v>
      </c>
    </row>
    <row r="28" spans="1:7" ht="15" thickBot="1" x14ac:dyDescent="0.35">
      <c r="A28" s="83">
        <v>52800</v>
      </c>
      <c r="B28" s="84">
        <f t="shared" si="1"/>
        <v>10</v>
      </c>
      <c r="C28" s="85"/>
      <c r="D28" s="86" t="e">
        <f t="shared" si="2"/>
        <v>#DIV/0!</v>
      </c>
      <c r="E28" s="87" t="e">
        <f t="shared" si="3"/>
        <v>#DIV/0!</v>
      </c>
      <c r="F28" s="88" t="e">
        <f t="shared" si="0"/>
        <v>#DIV/0!</v>
      </c>
    </row>
    <row r="29" spans="1:7" ht="15" thickTop="1" x14ac:dyDescent="0.3">
      <c r="A29" s="89"/>
      <c r="B29" s="90"/>
      <c r="D29" s="18"/>
      <c r="E29" s="18"/>
    </row>
  </sheetData>
  <mergeCells count="2">
    <mergeCell ref="A13:B13"/>
    <mergeCell ref="D13:E1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olve_1TOT1">
                <anchor moveWithCells="1" sizeWithCells="1">
                  <from>
                    <xdr:col>0</xdr:col>
                    <xdr:colOff>7620</xdr:colOff>
                    <xdr:row>9</xdr:row>
                    <xdr:rowOff>175260</xdr:rowOff>
                  </from>
                  <to>
                    <xdr:col>1</xdr:col>
                    <xdr:colOff>556260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olve_1TOT3">
                <anchor moveWithCells="1" sizeWithCells="1">
                  <from>
                    <xdr:col>2</xdr:col>
                    <xdr:colOff>99060</xdr:colOff>
                    <xdr:row>9</xdr:row>
                    <xdr:rowOff>175260</xdr:rowOff>
                  </from>
                  <to>
                    <xdr:col>4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olve_CustomTOT">
                <anchor moveWithCells="1" sizeWithCells="1">
                  <from>
                    <xdr:col>4</xdr:col>
                    <xdr:colOff>236220</xdr:colOff>
                    <xdr:row>9</xdr:row>
                    <xdr:rowOff>175260</xdr:rowOff>
                  </from>
                  <to>
                    <xdr:col>5</xdr:col>
                    <xdr:colOff>601980</xdr:colOff>
                    <xdr:row>11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F37" sqref="F37"/>
    </sheetView>
  </sheetViews>
  <sheetFormatPr defaultRowHeight="14.4" x14ac:dyDescent="0.3"/>
  <cols>
    <col min="2" max="2" width="23.5546875" customWidth="1"/>
  </cols>
  <sheetData>
    <row r="2" spans="1:6" x14ac:dyDescent="0.3">
      <c r="A2" t="s">
        <v>86</v>
      </c>
    </row>
    <row r="4" spans="1:6" x14ac:dyDescent="0.3">
      <c r="A4" s="96" t="s">
        <v>35</v>
      </c>
      <c r="B4" s="96" t="s">
        <v>36</v>
      </c>
      <c r="C4" s="96" t="s">
        <v>37</v>
      </c>
      <c r="E4" s="97" t="s">
        <v>87</v>
      </c>
    </row>
    <row r="5" spans="1:6" x14ac:dyDescent="0.3">
      <c r="A5" t="s">
        <v>32</v>
      </c>
      <c r="B5" t="s">
        <v>33</v>
      </c>
      <c r="C5" t="s">
        <v>34</v>
      </c>
      <c r="E5">
        <f>+input!F8</f>
        <v>0</v>
      </c>
    </row>
    <row r="6" spans="1:6" x14ac:dyDescent="0.3">
      <c r="A6" t="s">
        <v>35</v>
      </c>
      <c r="B6" t="s">
        <v>95</v>
      </c>
      <c r="C6" t="s">
        <v>56</v>
      </c>
      <c r="E6">
        <f>+input!D15</f>
        <v>0</v>
      </c>
    </row>
    <row r="7" spans="1:6" x14ac:dyDescent="0.3">
      <c r="A7" t="s">
        <v>84</v>
      </c>
      <c r="B7" t="s">
        <v>85</v>
      </c>
      <c r="C7" t="s">
        <v>34</v>
      </c>
      <c r="E7">
        <f>+(input!F11+input!F12)</f>
        <v>0</v>
      </c>
    </row>
    <row r="10" spans="1:6" x14ac:dyDescent="0.3">
      <c r="A10" t="s">
        <v>88</v>
      </c>
      <c r="E10" t="e">
        <f>+(E5*E6)/(0.5*E7)</f>
        <v>#DIV/0!</v>
      </c>
      <c r="F10" t="s">
        <v>28</v>
      </c>
    </row>
    <row r="11" spans="1:6" x14ac:dyDescent="0.3">
      <c r="E11" t="e">
        <f>+E10*365</f>
        <v>#DIV/0!</v>
      </c>
      <c r="F11" t="s">
        <v>26</v>
      </c>
    </row>
    <row r="13" spans="1:6" x14ac:dyDescent="0.3">
      <c r="A13" s="96" t="s">
        <v>89</v>
      </c>
      <c r="B13" s="96"/>
      <c r="C13" s="96"/>
      <c r="D13" s="96"/>
      <c r="E13" s="96" t="e">
        <f>0.02*E11</f>
        <v>#DIV/0!</v>
      </c>
      <c r="F13" s="96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soil properties</vt:lpstr>
      <vt:lpstr>horiz tot - df to well</vt:lpstr>
      <vt:lpstr>vert - wyoming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Therriault, Reta</cp:lastModifiedBy>
  <cp:lastPrinted>2015-08-28T13:09:11Z</cp:lastPrinted>
  <dcterms:created xsi:type="dcterms:W3CDTF">2014-11-20T15:37:39Z</dcterms:created>
  <dcterms:modified xsi:type="dcterms:W3CDTF">2016-08-31T22:20:05Z</dcterms:modified>
</cp:coreProperties>
</file>