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workbookProtection workbookPassword="83AF" lockStructure="1"/>
  <bookViews>
    <workbookView showHorizontalScroll="0" showVerticalScroll="0" showSheetTabs="0" xWindow="-15" yWindow="4785" windowWidth="20190" windowHeight="4815" autoFilterDateGrouping="0"/>
  </bookViews>
  <sheets>
    <sheet name="Data Entry" sheetId="3" r:id="rId1"/>
    <sheet name="COC Info" sheetId="2" r:id="rId2"/>
  </sheets>
  <calcPr calcId="145621"/>
</workbook>
</file>

<file path=xl/calcChain.xml><?xml version="1.0" encoding="utf-8"?>
<calcChain xmlns="http://schemas.openxmlformats.org/spreadsheetml/2006/main">
  <c r="C9" i="3" l="1"/>
  <c r="C10" i="3"/>
  <c r="C11" i="3"/>
  <c r="C12" i="3"/>
  <c r="C13" i="3"/>
  <c r="C14" i="3"/>
  <c r="C15" i="3"/>
  <c r="C16" i="3"/>
  <c r="C17" i="3"/>
  <c r="C18" i="3"/>
  <c r="C19" i="3"/>
  <c r="C8" i="3"/>
  <c r="I10" i="2" l="1"/>
  <c r="I12" i="2" l="1"/>
  <c r="I11" i="2"/>
  <c r="I9" i="2"/>
  <c r="I8" i="2"/>
  <c r="I4" i="2"/>
  <c r="I3" i="2"/>
  <c r="D9" i="3" l="1"/>
  <c r="D10" i="3"/>
  <c r="D11" i="3"/>
  <c r="D12" i="3"/>
  <c r="D13" i="3"/>
  <c r="D14" i="3"/>
  <c r="D15" i="3"/>
  <c r="D16" i="3"/>
  <c r="D17" i="3"/>
  <c r="D18" i="3"/>
  <c r="D19" i="3"/>
  <c r="D8" i="3"/>
  <c r="P9" i="3" l="1"/>
  <c r="Q9" i="3"/>
  <c r="P10" i="3"/>
  <c r="Q10" i="3"/>
  <c r="P11" i="3"/>
  <c r="Q11" i="3"/>
  <c r="P12" i="3"/>
  <c r="Q12" i="3"/>
  <c r="P13" i="3"/>
  <c r="Q13" i="3"/>
  <c r="P14" i="3"/>
  <c r="Q14" i="3"/>
  <c r="P15" i="3"/>
  <c r="Q15" i="3"/>
  <c r="P16" i="3"/>
  <c r="Q16" i="3"/>
  <c r="P17" i="3"/>
  <c r="Q17" i="3"/>
  <c r="P18" i="3"/>
  <c r="Q18" i="3"/>
  <c r="P19" i="3"/>
  <c r="Q19" i="3"/>
  <c r="Q8" i="3"/>
  <c r="P8" i="3"/>
  <c r="H9" i="3"/>
  <c r="I9" i="3"/>
  <c r="J9" i="3"/>
  <c r="K9" i="3"/>
  <c r="L9" i="3"/>
  <c r="M9" i="3"/>
  <c r="N9" i="3"/>
  <c r="H10" i="3"/>
  <c r="I10" i="3"/>
  <c r="J10" i="3"/>
  <c r="K10" i="3"/>
  <c r="L10" i="3"/>
  <c r="M10" i="3"/>
  <c r="N10" i="3"/>
  <c r="H11" i="3"/>
  <c r="I11" i="3"/>
  <c r="J11" i="3"/>
  <c r="K11" i="3"/>
  <c r="L11" i="3"/>
  <c r="M11" i="3"/>
  <c r="N11" i="3"/>
  <c r="H12" i="3"/>
  <c r="I12" i="3"/>
  <c r="J12" i="3"/>
  <c r="K12" i="3"/>
  <c r="L12" i="3"/>
  <c r="M12" i="3"/>
  <c r="N12" i="3"/>
  <c r="H13" i="3"/>
  <c r="I13" i="3"/>
  <c r="J13" i="3"/>
  <c r="K13" i="3"/>
  <c r="L13" i="3"/>
  <c r="M13" i="3"/>
  <c r="N13" i="3"/>
  <c r="H14" i="3"/>
  <c r="I14" i="3"/>
  <c r="J14" i="3"/>
  <c r="K14" i="3"/>
  <c r="L14" i="3"/>
  <c r="M14" i="3"/>
  <c r="N14" i="3"/>
  <c r="H15" i="3"/>
  <c r="I15" i="3"/>
  <c r="J15" i="3"/>
  <c r="K15" i="3"/>
  <c r="L15" i="3"/>
  <c r="M15" i="3"/>
  <c r="N15" i="3"/>
  <c r="H16" i="3"/>
  <c r="I16" i="3"/>
  <c r="J16" i="3"/>
  <c r="K16" i="3"/>
  <c r="L16" i="3"/>
  <c r="M16" i="3"/>
  <c r="N16" i="3"/>
  <c r="H17" i="3"/>
  <c r="I17" i="3"/>
  <c r="J17" i="3"/>
  <c r="K17" i="3"/>
  <c r="L17" i="3"/>
  <c r="M17" i="3"/>
  <c r="N17" i="3"/>
  <c r="H18" i="3"/>
  <c r="I18" i="3"/>
  <c r="J18" i="3"/>
  <c r="K18" i="3"/>
  <c r="L18" i="3"/>
  <c r="M18" i="3"/>
  <c r="N18" i="3"/>
  <c r="H19" i="3"/>
  <c r="I19" i="3"/>
  <c r="J19" i="3"/>
  <c r="K19" i="3"/>
  <c r="L19" i="3"/>
  <c r="M19" i="3"/>
  <c r="N19" i="3"/>
  <c r="N8" i="3"/>
  <c r="M8" i="3"/>
  <c r="L8" i="3"/>
  <c r="H8" i="3"/>
  <c r="K8" i="3"/>
  <c r="J8" i="3"/>
  <c r="I8" i="3"/>
  <c r="Y19" i="3" l="1"/>
  <c r="Y18" i="3"/>
  <c r="Y17" i="3"/>
  <c r="Y16" i="3"/>
  <c r="B19" i="3"/>
  <c r="B18" i="3"/>
  <c r="B17" i="3"/>
  <c r="B16" i="3"/>
  <c r="J12" i="2" l="1"/>
  <c r="J11" i="2" l="1"/>
  <c r="J10" i="2"/>
  <c r="J9" i="2"/>
  <c r="J8" i="2"/>
  <c r="J4" i="2" l="1"/>
  <c r="J3" i="2"/>
  <c r="B9" i="3"/>
  <c r="B10" i="3"/>
  <c r="B11" i="3"/>
  <c r="B12" i="3"/>
  <c r="B13" i="3"/>
  <c r="B14" i="3"/>
  <c r="B15" i="3"/>
  <c r="B8" i="3"/>
  <c r="Y8" i="3"/>
  <c r="Y9" i="3"/>
  <c r="Y10" i="3"/>
  <c r="Y11" i="3"/>
  <c r="Y12" i="3"/>
  <c r="Y13" i="3"/>
  <c r="Y14" i="3"/>
  <c r="Y15" i="3"/>
  <c r="AA16" i="3" l="1"/>
  <c r="AA18" i="3"/>
  <c r="AA17" i="3"/>
  <c r="AA19" i="3"/>
  <c r="O17" i="3"/>
  <c r="R17" i="3" s="1"/>
  <c r="O19" i="3"/>
  <c r="R19" i="3" s="1"/>
  <c r="O18" i="3"/>
  <c r="R18" i="3" s="1"/>
  <c r="AA8" i="3"/>
  <c r="AA10" i="3"/>
  <c r="AA12" i="3"/>
  <c r="AA14" i="3"/>
  <c r="AA9" i="3"/>
  <c r="AA11" i="3"/>
  <c r="AA13" i="3"/>
  <c r="AA15" i="3"/>
  <c r="O16" i="3"/>
  <c r="R16" i="3" s="1"/>
  <c r="O13" i="3"/>
  <c r="R13" i="3" s="1"/>
  <c r="O15" i="3"/>
  <c r="R15" i="3" s="1"/>
  <c r="O10" i="3"/>
  <c r="R10" i="3" s="1"/>
  <c r="O14" i="3"/>
  <c r="R14" i="3" s="1"/>
  <c r="O12" i="3"/>
  <c r="R12" i="3" s="1"/>
  <c r="O11" i="3"/>
  <c r="R11" i="3" s="1"/>
  <c r="O9" i="3"/>
  <c r="R9" i="3" s="1"/>
  <c r="O8" i="3"/>
  <c r="R8" i="3" l="1"/>
  <c r="T8" i="3" s="1"/>
  <c r="T14" i="3"/>
  <c r="S16" i="3"/>
  <c r="U16" i="3" s="1"/>
  <c r="T16" i="3"/>
  <c r="S9" i="3"/>
  <c r="U9" i="3" s="1"/>
  <c r="T9" i="3"/>
  <c r="T10" i="3"/>
  <c r="T18" i="3"/>
  <c r="T11" i="3"/>
  <c r="T15" i="3"/>
  <c r="T19" i="3"/>
  <c r="T12" i="3"/>
  <c r="S13" i="3"/>
  <c r="U13" i="3" s="1"/>
  <c r="T13" i="3"/>
  <c r="T17" i="3"/>
  <c r="S19" i="3"/>
  <c r="U19" i="3" s="1"/>
  <c r="S18" i="3"/>
  <c r="U18" i="3" s="1"/>
  <c r="S17" i="3"/>
  <c r="U17" i="3" s="1"/>
  <c r="S15" i="3"/>
  <c r="U15" i="3" s="1"/>
  <c r="S14" i="3"/>
  <c r="U14" i="3" s="1"/>
  <c r="S11" i="3"/>
  <c r="U11" i="3" s="1"/>
  <c r="S12" i="3"/>
  <c r="U12" i="3" s="1"/>
  <c r="S10" i="3"/>
  <c r="U10" i="3" s="1"/>
  <c r="S8" i="3"/>
  <c r="U8" i="3" s="1"/>
</calcChain>
</file>

<file path=xl/comments1.xml><?xml version="1.0" encoding="utf-8"?>
<comments xmlns="http://schemas.openxmlformats.org/spreadsheetml/2006/main">
  <authors>
    <author>CB7309</author>
  </authors>
  <commentList>
    <comment ref="I1" authorId="0">
      <text>
        <r>
          <rPr>
            <b/>
            <sz val="8"/>
            <color indexed="81"/>
            <rFont val="Tahoma"/>
            <family val="2"/>
          </rPr>
          <t>CB7309:</t>
        </r>
        <r>
          <rPr>
            <sz val="8"/>
            <color indexed="81"/>
            <rFont val="Tahoma"/>
            <family val="2"/>
          </rPr>
          <t xml:space="preserve">
carcinogen RSLs *(78/70) to adjust to DEQ lifespan value</t>
        </r>
      </text>
    </comment>
  </commentList>
</comments>
</file>

<file path=xl/sharedStrings.xml><?xml version="1.0" encoding="utf-8"?>
<sst xmlns="http://schemas.openxmlformats.org/spreadsheetml/2006/main" count="120" uniqueCount="73">
  <si>
    <t>Benzene</t>
  </si>
  <si>
    <t>COC</t>
  </si>
  <si>
    <t xml:space="preserve">Residential </t>
  </si>
  <si>
    <t>Industrial</t>
  </si>
  <si>
    <t>1,3 Butadiene</t>
  </si>
  <si>
    <t xml:space="preserve">Toluene </t>
  </si>
  <si>
    <t>Ethylbenzene</t>
  </si>
  <si>
    <t>Naphthalene</t>
  </si>
  <si>
    <t>MTBE</t>
  </si>
  <si>
    <t>Ethylene Dibromide (EDB)</t>
  </si>
  <si>
    <t>1,2 Dichloroethane (DCA)</t>
  </si>
  <si>
    <t>NC</t>
  </si>
  <si>
    <t>C</t>
  </si>
  <si>
    <t>Residential</t>
  </si>
  <si>
    <t>HI or 1E-(x)</t>
  </si>
  <si>
    <t>NC/C</t>
  </si>
  <si>
    <t>C or NC</t>
  </si>
  <si>
    <t>Calculated Divisor</t>
  </si>
  <si>
    <t>1J</t>
  </si>
  <si>
    <t>1A</t>
  </si>
  <si>
    <t>1I</t>
  </si>
  <si>
    <t>1F</t>
  </si>
  <si>
    <t>1K</t>
  </si>
  <si>
    <t>1B</t>
  </si>
  <si>
    <r>
      <t>RSL (ug/m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</si>
  <si>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>1st NC Category</t>
  </si>
  <si>
    <t>2nd NC Category</t>
  </si>
  <si>
    <t>3rd NC Category</t>
  </si>
  <si>
    <t>4th NC Category</t>
  </si>
  <si>
    <t>5th NC Category</t>
  </si>
  <si>
    <t>6th NC Category</t>
  </si>
  <si>
    <t>1D</t>
  </si>
  <si>
    <t>1E</t>
  </si>
  <si>
    <t>1G</t>
  </si>
  <si>
    <t>1H</t>
  </si>
  <si>
    <t>1C</t>
  </si>
  <si>
    <t>use list</t>
  </si>
  <si>
    <t>unuse list</t>
  </si>
  <si>
    <t>row no.</t>
  </si>
  <si>
    <t>Chemical</t>
  </si>
  <si>
    <t>APH VI Screening Level Calculator</t>
  </si>
  <si>
    <t>hepatic</t>
  </si>
  <si>
    <t>renal</t>
  </si>
  <si>
    <t>developmental effects</t>
  </si>
  <si>
    <t>increased prostration</t>
  </si>
  <si>
    <t>swollen periocular tissue</t>
  </si>
  <si>
    <t>ovarian atrophy</t>
  </si>
  <si>
    <t>neurotoxicity</t>
  </si>
  <si>
    <t>Health Effect</t>
  </si>
  <si>
    <t>Code</t>
  </si>
  <si>
    <t>nasal effects</t>
  </si>
  <si>
    <t>Aliphatic (C5-C8)</t>
  </si>
  <si>
    <t>Aliphatic (C9-C12)</t>
  </si>
  <si>
    <t>Aromatic (C9-C10)</t>
  </si>
  <si>
    <t>Instructions:</t>
  </si>
  <si>
    <t>Table 1</t>
  </si>
  <si>
    <t>Table 2</t>
  </si>
  <si>
    <t>Res. Adjuster</t>
  </si>
  <si>
    <t>Ind. Adjuster</t>
  </si>
  <si>
    <r>
      <t>DEQ/EPA RSL Screen (µg/m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)*</t>
    </r>
  </si>
  <si>
    <r>
      <t>Adjusted RSL (µg/m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)**</t>
    </r>
  </si>
  <si>
    <r>
      <t xml:space="preserve">1.  Compare your analytical results to DEQ/EPA RSL Screening value in </t>
    </r>
    <r>
      <rPr>
        <sz val="10"/>
        <color rgb="FFFF0000"/>
        <rFont val="Arial"/>
        <family val="2"/>
      </rPr>
      <t>Table 1.</t>
    </r>
  </si>
  <si>
    <r>
      <t xml:space="preserve">2.  All compounds that exceed the </t>
    </r>
    <r>
      <rPr>
        <sz val="10"/>
        <color rgb="FFFF0000"/>
        <rFont val="Arial"/>
        <family val="2"/>
      </rPr>
      <t>Table 1:</t>
    </r>
    <r>
      <rPr>
        <sz val="10"/>
        <rFont val="Arial"/>
        <family val="2"/>
      </rPr>
      <t xml:space="preserve"> DEQ/EPA RSL Screening values must be added to the to drop down boxes under "Chemical" in </t>
    </r>
    <r>
      <rPr>
        <sz val="10"/>
        <color rgb="FFFF0000"/>
        <rFont val="Arial"/>
        <family val="2"/>
      </rPr>
      <t xml:space="preserve">Table 2 </t>
    </r>
    <r>
      <rPr>
        <sz val="10"/>
        <rFont val="Arial"/>
        <family val="2"/>
      </rPr>
      <t>to view the adjusted screening value.</t>
    </r>
  </si>
  <si>
    <t>Please see DEQ's VI APH Calculator Discussion document for additional information.</t>
  </si>
  <si>
    <t>adrenal hyperplasia</t>
  </si>
  <si>
    <t>Xylenes (mix of mp &amp; o)</t>
  </si>
  <si>
    <r>
      <t>*DEQ/EPA RSL Screening values are based on a cancer risk of 1 x 10</t>
    </r>
    <r>
      <rPr>
        <vertAlign val="superscript"/>
        <sz val="10"/>
        <rFont val="Arial"/>
        <family val="2"/>
      </rPr>
      <t>-6</t>
    </r>
    <r>
      <rPr>
        <sz val="10"/>
        <rFont val="Arial"/>
        <family val="2"/>
      </rPr>
      <t xml:space="preserve"> (adjusted for 78-year lifespan) and a hazard index of 0.1 for non-carcinogens.</t>
    </r>
  </si>
  <si>
    <r>
      <t>**Adjusted RSL values are based on a cumulative cancer risk of 1 x 10</t>
    </r>
    <r>
      <rPr>
        <vertAlign val="superscript"/>
        <sz val="10"/>
        <rFont val="Arial"/>
        <family val="2"/>
      </rPr>
      <t>-5</t>
    </r>
    <r>
      <rPr>
        <sz val="10"/>
        <rFont val="Arial"/>
        <family val="2"/>
      </rPr>
      <t xml:space="preserve"> (adjusted for 78-year lifespan) and a cumulative hazard index of 1.0 (non-carcinogens) for only those chemicals selected.</t>
    </r>
  </si>
  <si>
    <t>Impaired motor coordination (decreased rotarod performance)</t>
  </si>
  <si>
    <t>maternal body weight reduction</t>
  </si>
  <si>
    <t>95% UTL-50th (ug/m3)</t>
  </si>
  <si>
    <t>Res. 2sigfig Ref</t>
  </si>
  <si>
    <t>Ind. 2sigfig 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</si>
</sst>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0"/>
      <name val="Arial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indexed="8"/>
      <name val="Arial"/>
      <family val="2"/>
    </font>
    <font>
      <sz val="12"/>
      <name val="SWISS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8"/>
      <name val="Arial"/>
      <family val="2"/>
    </font>
    <font>
      <sz val="18"/>
      <color rgb="FFFF0000"/>
      <name val="Arial"/>
      <family val="2"/>
    </font>
    <font>
      <sz val="14"/>
      <color rgb="FFFF0000"/>
      <name val="Arial"/>
      <family val="2"/>
    </font>
    <font>
      <sz val="10"/>
      <color rgb="FFFF0000"/>
      <name val="Arial"/>
      <family val="2"/>
    </font>
    <font>
      <vertAlign val="superscript"/>
      <sz val="10"/>
      <name val="Arial"/>
      <family val="2"/>
    </font>
    <font>
      <u/>
      <sz val="10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63377788628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indexed="64"/>
      </left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/>
      <right style="thin">
        <color indexed="64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59996337778862885"/>
      </left>
      <right style="thin">
        <color theme="8" tint="0.59996337778862885"/>
      </right>
      <top/>
      <bottom style="thin">
        <color theme="8" tint="0.59996337778862885"/>
      </bottom>
      <diagonal/>
    </border>
    <border>
      <left/>
      <right style="thin">
        <color theme="8" tint="0.59996337778862885"/>
      </right>
      <top/>
      <bottom/>
      <diagonal/>
    </border>
  </borders>
  <cellStyleXfs count="4">
    <xf numFmtId="0" fontId="0" fillId="0" borderId="0"/>
    <xf numFmtId="0" fontId="7" fillId="2" borderId="0"/>
    <xf numFmtId="0" fontId="2" fillId="2" borderId="0"/>
    <xf numFmtId="0" fontId="15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Border="1"/>
    <xf numFmtId="0" fontId="0" fillId="0" borderId="0" xfId="0" applyBorder="1"/>
    <xf numFmtId="11" fontId="0" fillId="0" borderId="0" xfId="0" applyNumberFormat="1"/>
    <xf numFmtId="0" fontId="4" fillId="0" borderId="0" xfId="0" applyFont="1"/>
    <xf numFmtId="0" fontId="4" fillId="0" borderId="0" xfId="0" applyFont="1" applyBorder="1"/>
    <xf numFmtId="0" fontId="3" fillId="0" borderId="0" xfId="0" applyFont="1" applyFill="1" applyBorder="1" applyAlignment="1">
      <alignment horizontal="left"/>
    </xf>
    <xf numFmtId="11" fontId="3" fillId="0" borderId="0" xfId="0" applyNumberFormat="1" applyFont="1" applyFill="1" applyBorder="1"/>
    <xf numFmtId="0" fontId="3" fillId="0" borderId="0" xfId="0" applyFont="1" applyBorder="1" applyAlignment="1">
      <alignment horizontal="left"/>
    </xf>
    <xf numFmtId="11" fontId="3" fillId="0" borderId="0" xfId="2" applyNumberFormat="1" applyFont="1" applyFill="1" applyBorder="1" applyAlignment="1">
      <alignment horizontal="right"/>
    </xf>
    <xf numFmtId="11" fontId="3" fillId="0" borderId="0" xfId="0" applyNumberFormat="1" applyFont="1" applyBorder="1"/>
    <xf numFmtId="0" fontId="3" fillId="0" borderId="0" xfId="0" applyFont="1" applyFill="1" applyBorder="1"/>
    <xf numFmtId="11" fontId="3" fillId="0" borderId="0" xfId="0" applyNumberFormat="1" applyFont="1" applyFill="1" applyBorder="1" applyAlignment="1">
      <alignment horizontal="center"/>
    </xf>
    <xf numFmtId="11" fontId="3" fillId="0" borderId="0" xfId="0" applyNumberFormat="1" applyFont="1" applyFill="1" applyBorder="1" applyAlignment="1"/>
    <xf numFmtId="49" fontId="4" fillId="0" borderId="0" xfId="0" applyNumberFormat="1" applyFont="1" applyBorder="1" applyAlignment="1">
      <alignment wrapText="1"/>
    </xf>
    <xf numFmtId="49" fontId="0" fillId="0" borderId="0" xfId="0" applyNumberFormat="1"/>
    <xf numFmtId="49" fontId="4" fillId="0" borderId="0" xfId="0" applyNumberFormat="1" applyFont="1" applyAlignment="1">
      <alignment wrapText="1"/>
    </xf>
    <xf numFmtId="49" fontId="0" fillId="0" borderId="0" xfId="0" applyNumberFormat="1" applyBorder="1" applyAlignment="1">
      <alignment horizontal="center"/>
    </xf>
    <xf numFmtId="0" fontId="0" fillId="0" borderId="0" xfId="0" applyBorder="1" applyProtection="1">
      <protection hidden="1"/>
    </xf>
    <xf numFmtId="0" fontId="3" fillId="0" borderId="0" xfId="0" applyFont="1" applyFill="1" applyBorder="1" applyAlignment="1" applyProtection="1">
      <alignment horizontal="left"/>
      <protection hidden="1"/>
    </xf>
    <xf numFmtId="0" fontId="3" fillId="0" borderId="0" xfId="0" applyFont="1" applyBorder="1" applyProtection="1">
      <protection hidden="1"/>
    </xf>
    <xf numFmtId="0" fontId="3" fillId="0" borderId="0" xfId="0" applyFont="1" applyBorder="1" applyAlignment="1" applyProtection="1">
      <alignment horizontal="left"/>
      <protection hidden="1"/>
    </xf>
    <xf numFmtId="0" fontId="3" fillId="0" borderId="0" xfId="0" applyFont="1" applyFill="1" applyBorder="1" applyProtection="1">
      <protection hidden="1"/>
    </xf>
    <xf numFmtId="49" fontId="0" fillId="0" borderId="0" xfId="0" applyNumberFormat="1" applyBorder="1" applyProtection="1">
      <protection hidden="1"/>
    </xf>
    <xf numFmtId="11" fontId="6" fillId="0" borderId="0" xfId="1" applyNumberFormat="1" applyFont="1" applyFill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0" fillId="0" borderId="0" xfId="0" applyFill="1" applyBorder="1" applyProtection="1">
      <protection hidden="1"/>
    </xf>
    <xf numFmtId="0" fontId="0" fillId="4" borderId="0" xfId="0" applyFill="1" applyBorder="1" applyProtection="1">
      <protection hidden="1"/>
    </xf>
    <xf numFmtId="0" fontId="0" fillId="4" borderId="0" xfId="0" applyFill="1" applyBorder="1" applyProtection="1"/>
    <xf numFmtId="0" fontId="4" fillId="4" borderId="0" xfId="0" applyFont="1" applyFill="1" applyBorder="1" applyProtection="1"/>
    <xf numFmtId="49" fontId="4" fillId="4" borderId="0" xfId="0" applyNumberFormat="1" applyFont="1" applyFill="1" applyBorder="1" applyProtection="1"/>
    <xf numFmtId="0" fontId="4" fillId="4" borderId="0" xfId="0" applyFont="1" applyFill="1" applyBorder="1" applyAlignment="1" applyProtection="1">
      <alignment horizontal="center"/>
    </xf>
    <xf numFmtId="49" fontId="0" fillId="4" borderId="0" xfId="0" applyNumberFormat="1" applyFill="1" applyBorder="1" applyProtection="1"/>
    <xf numFmtId="0" fontId="3" fillId="4" borderId="0" xfId="0" applyFont="1" applyFill="1" applyBorder="1" applyProtection="1">
      <protection hidden="1"/>
    </xf>
    <xf numFmtId="0" fontId="11" fillId="4" borderId="0" xfId="0" applyFont="1" applyFill="1" applyBorder="1" applyAlignment="1" applyProtection="1">
      <alignment horizontal="left" vertical="center"/>
      <protection hidden="1"/>
    </xf>
    <xf numFmtId="0" fontId="11" fillId="4" borderId="0" xfId="0" applyFont="1" applyFill="1" applyBorder="1" applyAlignment="1" applyProtection="1">
      <alignment horizontal="left" vertical="center"/>
    </xf>
    <xf numFmtId="0" fontId="0" fillId="3" borderId="2" xfId="0" applyFill="1" applyBorder="1" applyProtection="1">
      <protection hidden="1"/>
    </xf>
    <xf numFmtId="0" fontId="4" fillId="3" borderId="2" xfId="0" applyFont="1" applyFill="1" applyBorder="1" applyAlignment="1" applyProtection="1">
      <alignment horizontal="center"/>
    </xf>
    <xf numFmtId="0" fontId="3" fillId="4" borderId="0" xfId="0" applyFont="1" applyFill="1" applyBorder="1" applyAlignment="1" applyProtection="1">
      <alignment horizontal="right"/>
      <protection hidden="1"/>
    </xf>
    <xf numFmtId="0" fontId="4" fillId="5" borderId="2" xfId="0" applyFont="1" applyFill="1" applyBorder="1" applyAlignment="1" applyProtection="1">
      <alignment horizontal="center"/>
    </xf>
    <xf numFmtId="0" fontId="0" fillId="5" borderId="2" xfId="0" applyFill="1" applyBorder="1" applyProtection="1">
      <protection locked="0"/>
    </xf>
    <xf numFmtId="0" fontId="4" fillId="4" borderId="5" xfId="0" applyFont="1" applyFill="1" applyBorder="1" applyAlignment="1" applyProtection="1">
      <alignment horizontal="center"/>
      <protection hidden="1"/>
    </xf>
    <xf numFmtId="0" fontId="4" fillId="4" borderId="5" xfId="0" applyFont="1" applyFill="1" applyBorder="1" applyAlignment="1" applyProtection="1">
      <alignment horizontal="center"/>
    </xf>
    <xf numFmtId="0" fontId="4" fillId="4" borderId="6" xfId="0" applyFont="1" applyFill="1" applyBorder="1" applyAlignment="1" applyProtection="1">
      <alignment horizontal="center"/>
    </xf>
    <xf numFmtId="0" fontId="4" fillId="6" borderId="0" xfId="0" applyFont="1" applyFill="1" applyBorder="1" applyProtection="1"/>
    <xf numFmtId="49" fontId="4" fillId="6" borderId="0" xfId="0" applyNumberFormat="1" applyFont="1" applyFill="1" applyBorder="1" applyAlignment="1" applyProtection="1">
      <alignment wrapText="1"/>
    </xf>
    <xf numFmtId="0" fontId="4" fillId="6" borderId="6" xfId="0" applyFont="1" applyFill="1" applyBorder="1" applyAlignment="1" applyProtection="1">
      <alignment horizontal="center"/>
    </xf>
    <xf numFmtId="0" fontId="0" fillId="6" borderId="0" xfId="0" applyFill="1" applyBorder="1" applyProtection="1"/>
    <xf numFmtId="0" fontId="0" fillId="6" borderId="6" xfId="0" applyFill="1" applyBorder="1" applyAlignment="1" applyProtection="1">
      <alignment horizontal="center"/>
    </xf>
    <xf numFmtId="49" fontId="0" fillId="4" borderId="0" xfId="0" applyNumberFormat="1" applyFill="1" applyBorder="1" applyProtection="1">
      <protection hidden="1"/>
    </xf>
    <xf numFmtId="11" fontId="6" fillId="0" borderId="0" xfId="1" applyNumberFormat="1" applyFont="1" applyFill="1" applyBorder="1" applyAlignment="1">
      <alignment horizontal="left"/>
    </xf>
    <xf numFmtId="0" fontId="4" fillId="0" borderId="0" xfId="0" applyFont="1" applyBorder="1" applyAlignment="1">
      <alignment horizontal="center"/>
    </xf>
    <xf numFmtId="11" fontId="3" fillId="0" borderId="0" xfId="0" applyNumberFormat="1" applyFont="1" applyFill="1" applyBorder="1" applyAlignment="1">
      <alignment horizontal="right"/>
    </xf>
    <xf numFmtId="0" fontId="4" fillId="5" borderId="2" xfId="0" applyNumberFormat="1" applyFont="1" applyFill="1" applyBorder="1" applyAlignment="1" applyProtection="1">
      <alignment horizontal="center"/>
    </xf>
    <xf numFmtId="0" fontId="3" fillId="4" borderId="0" xfId="0" applyFont="1" applyFill="1" applyBorder="1" applyAlignment="1" applyProtection="1">
      <alignment horizontal="left" vertical="center"/>
      <protection hidden="1"/>
    </xf>
    <xf numFmtId="0" fontId="3" fillId="6" borderId="0" xfId="0" applyNumberFormat="1" applyFont="1" applyFill="1" applyBorder="1" applyProtection="1"/>
    <xf numFmtId="0" fontId="0" fillId="6" borderId="0" xfId="0" applyNumberFormat="1" applyFill="1" applyBorder="1" applyProtection="1"/>
    <xf numFmtId="0" fontId="0" fillId="3" borderId="2" xfId="0" applyNumberFormat="1" applyFill="1" applyBorder="1" applyProtection="1">
      <protection hidden="1"/>
    </xf>
    <xf numFmtId="0" fontId="0" fillId="6" borderId="2" xfId="0" applyNumberFormat="1" applyFill="1" applyBorder="1" applyProtection="1">
      <protection hidden="1"/>
    </xf>
    <xf numFmtId="0" fontId="4" fillId="6" borderId="2" xfId="0" applyFont="1" applyFill="1" applyBorder="1" applyAlignment="1" applyProtection="1">
      <alignment horizontal="center"/>
    </xf>
    <xf numFmtId="0" fontId="3" fillId="4" borderId="0" xfId="0" applyFont="1" applyFill="1" applyBorder="1" applyAlignment="1" applyProtection="1">
      <alignment horizontal="left"/>
      <protection hidden="1"/>
    </xf>
    <xf numFmtId="0" fontId="3" fillId="4" borderId="0" xfId="0" applyFont="1" applyFill="1" applyBorder="1" applyAlignment="1" applyProtection="1">
      <alignment horizontal="left" wrapText="1"/>
      <protection hidden="1"/>
    </xf>
    <xf numFmtId="0" fontId="4" fillId="4" borderId="2" xfId="0" applyFont="1" applyFill="1" applyBorder="1" applyAlignment="1" applyProtection="1">
      <alignment horizontal="center"/>
    </xf>
    <xf numFmtId="0" fontId="4" fillId="4" borderId="4" xfId="0" applyFont="1" applyFill="1" applyBorder="1" applyAlignment="1" applyProtection="1">
      <alignment horizontal="center"/>
    </xf>
    <xf numFmtId="0" fontId="4" fillId="4" borderId="3" xfId="0" applyFont="1" applyFill="1" applyBorder="1" applyAlignment="1" applyProtection="1">
      <alignment horizontal="center"/>
    </xf>
    <xf numFmtId="0" fontId="10" fillId="4" borderId="0" xfId="0" applyFont="1" applyFill="1" applyBorder="1" applyAlignment="1" applyProtection="1">
      <alignment horizontal="center" vertical="center"/>
      <protection hidden="1"/>
    </xf>
    <xf numFmtId="0" fontId="12" fillId="4" borderId="0" xfId="0" applyFont="1" applyFill="1" applyBorder="1" applyAlignment="1" applyProtection="1">
      <alignment horizontal="center" vertical="center"/>
      <protection hidden="1"/>
    </xf>
    <xf numFmtId="0" fontId="12" fillId="4" borderId="0" xfId="0" applyFont="1" applyFill="1" applyBorder="1" applyAlignment="1" applyProtection="1">
      <alignment horizontal="center" vertical="center"/>
    </xf>
    <xf numFmtId="0" fontId="3" fillId="4" borderId="0" xfId="0" applyFont="1" applyFill="1" applyBorder="1" applyAlignment="1" applyProtection="1">
      <alignment horizontal="left" vertical="center"/>
      <protection hidden="1"/>
    </xf>
    <xf numFmtId="0" fontId="3" fillId="4" borderId="0" xfId="0" applyFont="1" applyFill="1" applyBorder="1" applyAlignment="1" applyProtection="1">
      <alignment horizontal="left" vertical="center" wrapText="1"/>
      <protection hidden="1"/>
    </xf>
    <xf numFmtId="0" fontId="4" fillId="0" borderId="0" xfId="0" applyFont="1" applyBorder="1" applyAlignment="1">
      <alignment horizontal="center"/>
    </xf>
    <xf numFmtId="0" fontId="15" fillId="4" borderId="0" xfId="3" applyFill="1" applyBorder="1" applyAlignment="1" applyProtection="1">
      <protection hidden="1"/>
    </xf>
  </cellXfs>
  <cellStyles count="4">
    <cellStyle name="Hyperlink" xfId="3" builtinId="8"/>
    <cellStyle name="Normal" xfId="0" builtinId="0"/>
    <cellStyle name="Normal_RevTABLE_4and5" xfId="1"/>
    <cellStyle name="Normal_RevTables_2_and_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deq.mt.gov/Portals/112/Land/StateSuperFund/Documents/VI_APH_Calculator_Discussion7-7-16.docx?ver=2016-10-07-120600-590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AA37"/>
  <sheetViews>
    <sheetView showGridLines="0" showRowColHeaders="0" tabSelected="1" zoomScaleNormal="100" zoomScaleSheetLayoutView="100" workbookViewId="0">
      <selection activeCell="D32" sqref="D32"/>
    </sheetView>
  </sheetViews>
  <sheetFormatPr defaultColWidth="9.140625" defaultRowHeight="12.75"/>
  <cols>
    <col min="1" max="1" width="12.85546875" style="19" bestFit="1" customWidth="1"/>
    <col min="2" max="2" width="22.42578125" style="27" bestFit="1" customWidth="1"/>
    <col min="3" max="3" width="14.7109375" style="27" customWidth="1"/>
    <col min="4" max="4" width="16.140625" style="27" customWidth="1"/>
    <col min="5" max="5" width="10" style="27" customWidth="1"/>
    <col min="6" max="6" width="9.140625" style="19"/>
    <col min="7" max="7" width="22.42578125" style="19" bestFit="1" customWidth="1"/>
    <col min="8" max="8" width="8" style="19" hidden="1" customWidth="1"/>
    <col min="9" max="9" width="16.140625" style="24" hidden="1" customWidth="1"/>
    <col min="10" max="10" width="16.5703125" style="24" hidden="1" customWidth="1"/>
    <col min="11" max="11" width="16.28515625" style="24" hidden="1" customWidth="1"/>
    <col min="12" max="14" width="16.140625" style="24" hidden="1" customWidth="1"/>
    <col min="15" max="15" width="18" style="19" hidden="1" customWidth="1"/>
    <col min="16" max="16" width="12.85546875" style="19" hidden="1" customWidth="1"/>
    <col min="17" max="17" width="12.42578125" style="19" hidden="1" customWidth="1"/>
    <col min="18" max="18" width="14.140625" style="19" hidden="1" customWidth="1"/>
    <col min="19" max="19" width="14" style="19" hidden="1" customWidth="1"/>
    <col min="20" max="20" width="11.42578125" style="19" customWidth="1"/>
    <col min="21" max="21" width="9.85546875" style="19" customWidth="1"/>
    <col min="22" max="22" width="20.42578125" style="19" customWidth="1"/>
    <col min="23" max="23" width="9.140625" style="19"/>
    <col min="24" max="24" width="23.140625" style="19" hidden="1" customWidth="1"/>
    <col min="25" max="25" width="7" style="19" hidden="1" customWidth="1"/>
    <col min="26" max="26" width="9.140625" style="19" hidden="1" customWidth="1"/>
    <col min="27" max="27" width="23.140625" style="19" hidden="1" customWidth="1"/>
    <col min="28" max="16384" width="9.140625" style="19"/>
  </cols>
  <sheetData>
    <row r="1" spans="1:27" ht="61.5" customHeight="1">
      <c r="A1" s="66" t="s">
        <v>40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</row>
    <row r="2" spans="1:27" s="21" customFormat="1">
      <c r="A2" s="39" t="s">
        <v>54</v>
      </c>
      <c r="B2" s="69" t="s">
        <v>61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</row>
    <row r="3" spans="1:27" s="21" customFormat="1" ht="28.5" customHeight="1">
      <c r="A3" s="34"/>
      <c r="B3" s="70" t="s">
        <v>62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</row>
    <row r="4" spans="1:27" s="21" customFormat="1" ht="12.75" customHeight="1">
      <c r="A4" s="34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</row>
    <row r="5" spans="1:27" s="21" customFormat="1">
      <c r="A5" s="34"/>
      <c r="B5" s="67" t="s">
        <v>55</v>
      </c>
      <c r="C5" s="55"/>
      <c r="D5" s="55"/>
      <c r="E5" s="55"/>
      <c r="F5" s="55"/>
      <c r="G5" s="68" t="s">
        <v>56</v>
      </c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</row>
    <row r="6" spans="1:27" ht="14.25" customHeight="1">
      <c r="A6" s="35"/>
      <c r="B6" s="67"/>
      <c r="C6" s="64" t="s">
        <v>59</v>
      </c>
      <c r="D6" s="65"/>
      <c r="E6" s="32"/>
      <c r="F6" s="36"/>
      <c r="G6" s="68"/>
      <c r="H6" s="30"/>
      <c r="I6" s="31"/>
      <c r="J6" s="31"/>
      <c r="K6" s="31"/>
      <c r="L6" s="31"/>
      <c r="M6" s="31"/>
      <c r="N6" s="31"/>
      <c r="O6" s="44"/>
      <c r="P6" s="44"/>
      <c r="Q6" s="44"/>
      <c r="R6" s="44"/>
      <c r="S6" s="44"/>
      <c r="T6" s="63" t="s">
        <v>60</v>
      </c>
      <c r="U6" s="63"/>
      <c r="V6" s="29"/>
    </row>
    <row r="7" spans="1:27" ht="12.75" customHeight="1">
      <c r="A7" s="35"/>
      <c r="B7" s="42" t="s">
        <v>39</v>
      </c>
      <c r="C7" s="38" t="s">
        <v>13</v>
      </c>
      <c r="D7" s="38" t="s">
        <v>3</v>
      </c>
      <c r="E7" s="60"/>
      <c r="F7" s="36"/>
      <c r="G7" s="43" t="s">
        <v>39</v>
      </c>
      <c r="H7" s="45" t="s">
        <v>16</v>
      </c>
      <c r="I7" s="46" t="s">
        <v>25</v>
      </c>
      <c r="J7" s="46" t="s">
        <v>26</v>
      </c>
      <c r="K7" s="46" t="s">
        <v>27</v>
      </c>
      <c r="L7" s="46" t="s">
        <v>28</v>
      </c>
      <c r="M7" s="46" t="s">
        <v>29</v>
      </c>
      <c r="N7" s="46" t="s">
        <v>30</v>
      </c>
      <c r="O7" s="47" t="s">
        <v>17</v>
      </c>
      <c r="P7" s="47" t="s">
        <v>57</v>
      </c>
      <c r="Q7" s="47" t="s">
        <v>58</v>
      </c>
      <c r="R7" s="47" t="s">
        <v>71</v>
      </c>
      <c r="S7" s="47" t="s">
        <v>72</v>
      </c>
      <c r="T7" s="40" t="s">
        <v>13</v>
      </c>
      <c r="U7" s="40" t="s">
        <v>3</v>
      </c>
      <c r="V7" s="29"/>
      <c r="X7" s="19" t="s">
        <v>36</v>
      </c>
      <c r="Y7" s="19" t="s">
        <v>38</v>
      </c>
      <c r="AA7" s="20" t="s">
        <v>37</v>
      </c>
    </row>
    <row r="8" spans="1:27">
      <c r="A8" s="28"/>
      <c r="B8" s="37" t="str">
        <f>'COC Info'!A3</f>
        <v>1,2 Dichloroethane (DCA)</v>
      </c>
      <c r="C8" s="58">
        <f>IF('COC Info'!K3&gt;'COC Info'!I3/10,ROUND('COC Info'!K3,2-(1+INT(LOG10(ABS('COC Info'!K3))))),ROUND('COC Info'!I3/10,2-(1+INT(LOG10(ABS('COC Info'!I3/10))))))</f>
        <v>0.23</v>
      </c>
      <c r="D8" s="58">
        <f>ROUND('COC Info'!J3/10,2-(1+INT(LOG10(ABS('COC Info'!J3/10)))))</f>
        <v>0.52</v>
      </c>
      <c r="E8" s="59"/>
      <c r="F8" s="29">
        <v>1</v>
      </c>
      <c r="G8" s="41"/>
      <c r="H8" s="48" t="str">
        <f>IF(ISBLANK(G8),"",VLOOKUP(G8,'COC Info'!$A$3:$J$14,2,))</f>
        <v/>
      </c>
      <c r="I8" s="56" t="str">
        <f>IF(ISBLANK(G8),"",VLOOKUP(G8,'COC Info'!$A$3:$J$14,3,))</f>
        <v/>
      </c>
      <c r="J8" s="57" t="str">
        <f>IF(ISBLANK(G8),"",VLOOKUP(G8,'COC Info'!$A$3:$J$14,4,))</f>
        <v/>
      </c>
      <c r="K8" s="57" t="str">
        <f>IF(ISBLANK(G8),"",VLOOKUP(G8,'COC Info'!$A$3:$J$14,5,))</f>
        <v/>
      </c>
      <c r="L8" s="57" t="str">
        <f>IF(ISBLANK(G8),"",VLOOKUP(G8,'COC Info'!$A$3:$J$14,6,))</f>
        <v/>
      </c>
      <c r="M8" s="57" t="str">
        <f>IF(ISBLANK(G8),"",VLOOKUP(G8,'COC Info'!$A$3:$J$14,7,))</f>
        <v/>
      </c>
      <c r="N8" s="57" t="str">
        <f>IF(ISBLANK(G8),"",VLOOKUP(G8,'COC Info'!$A$3:$J$14,8,))</f>
        <v/>
      </c>
      <c r="O8" s="49" t="str">
        <f t="shared" ref="O8:O19" si="0">IF(H8="C",COUNTIF($H$8:$H$19,"C"),IF(H8="NC",MAX(IF(I8=0,1,COUNTIF($I$8:$N$19,I8)), IF(J8=0,1,COUNTIF($I$8:$N$19,J8)), IF(K8=0,1,COUNTIF($I$8:$N$19,K8)),IF(L8=0,1,COUNTIF($I$8:$N$19,L8)),IF(M8=0,1,COUNTIF($I$8:$N$19,M8)),IF(N8=0,1,COUNTIF($I$8:$N$19,N8))),""))</f>
        <v/>
      </c>
      <c r="P8" s="49" t="str">
        <f>IF(ISBLANK(G8),"",VLOOKUP(G8,'COC Info'!$A$3:$J$14,9,))</f>
        <v/>
      </c>
      <c r="Q8" s="49" t="str">
        <f>IF(ISBLANK(G8),"",VLOOKUP(G8,'COC Info'!$A$3:$J$14,10,))</f>
        <v/>
      </c>
      <c r="R8" s="49" t="str">
        <f>IF(ISBLANK(G8),"",IF(AND(LOOKUP(G8,'COC Info'!$A$3:$A$14,'COC Info'!$K$3:$K$14)&lt;&gt;0,LOOKUP(G8,'COC Info'!$A$3:$A$14,'COC Info'!$K$3:$K$14)&gt;(P8/O8)),LOOKUP(G8,'COC Info'!$A$3:$A$14,'COC Info'!$K$3:$K$14),P8/O8))</f>
        <v/>
      </c>
      <c r="S8" s="49" t="str">
        <f t="shared" ref="S8:S19" si="1">IF(ISBLANK(G8),"",Q8/O8)</f>
        <v/>
      </c>
      <c r="T8" s="54" t="str">
        <f t="shared" ref="T8:T19" si="2">IF(ISBLANK(G8),"",ROUND(R8,2-(1+INT(LOG10(ABS(R8))))))</f>
        <v/>
      </c>
      <c r="U8" s="54" t="str">
        <f t="shared" ref="U8:U19" si="3">IF(ISBLANK(G8),"",ROUND(S8,2-(1+INT(LOG10(ABS(S8))))))</f>
        <v/>
      </c>
      <c r="V8" s="29"/>
      <c r="X8" s="20" t="s">
        <v>10</v>
      </c>
      <c r="Y8" s="19">
        <f>IF(COUNTIF($G$8:$G$19,'Data Entry'!X8)&gt;=1,"",ROW())</f>
        <v>8</v>
      </c>
      <c r="AA8" s="19" t="str">
        <f>IF(ROW('Data Entry'!X8)+1-8&gt;COUNT($Y$8:$Y$19),"",INDEX(X:X,SMALL($Y$8:$Y$19,ROW('Data Entry'!X8)+1-8)))</f>
        <v>1,2 Dichloroethane (DCA)</v>
      </c>
    </row>
    <row r="9" spans="1:27">
      <c r="A9" s="28"/>
      <c r="B9" s="37" t="str">
        <f>'COC Info'!A4</f>
        <v>1,3 Butadiene</v>
      </c>
      <c r="C9" s="58">
        <f>IF('COC Info'!K4&gt;'COC Info'!I4/10,ROUND('COC Info'!K4,2-(1+INT(LOG10(ABS('COC Info'!K4))))),ROUND('COC Info'!I4/10,2-(1+INT(LOG10(ABS('COC Info'!I4/10))))))</f>
        <v>0.1</v>
      </c>
      <c r="D9" s="58">
        <f>ROUND('COC Info'!J4/10,2-(1+INT(LOG10(ABS('COC Info'!J4/10)))))</f>
        <v>0.46</v>
      </c>
      <c r="E9" s="59"/>
      <c r="F9" s="29">
        <v>2</v>
      </c>
      <c r="G9" s="41"/>
      <c r="H9" s="48" t="str">
        <f>IF(ISBLANK(G9),"",VLOOKUP(G9,'COC Info'!$A$3:$J$14,2,))</f>
        <v/>
      </c>
      <c r="I9" s="56" t="str">
        <f>IF(ISBLANK(G9),"",VLOOKUP(G9,'COC Info'!$A$3:$J$14,3,))</f>
        <v/>
      </c>
      <c r="J9" s="57" t="str">
        <f>IF(ISBLANK(G9),"",VLOOKUP(G9,'COC Info'!$A$3:$J$14,4,))</f>
        <v/>
      </c>
      <c r="K9" s="57" t="str">
        <f>IF(ISBLANK(G9),"",VLOOKUP(G9,'COC Info'!$A$3:$J$14,5,))</f>
        <v/>
      </c>
      <c r="L9" s="57" t="str">
        <f>IF(ISBLANK(G9),"",VLOOKUP(G9,'COC Info'!$A$3:$J$14,6,))</f>
        <v/>
      </c>
      <c r="M9" s="57" t="str">
        <f>IF(ISBLANK(G9),"",VLOOKUP(G9,'COC Info'!$A$3:$J$14,7,))</f>
        <v/>
      </c>
      <c r="N9" s="57" t="str">
        <f>IF(ISBLANK(G9),"",VLOOKUP(G9,'COC Info'!$A$3:$J$14,8,))</f>
        <v/>
      </c>
      <c r="O9" s="49" t="str">
        <f t="shared" si="0"/>
        <v/>
      </c>
      <c r="P9" s="49" t="str">
        <f>IF(ISBLANK(G9),"",VLOOKUP(G9,'COC Info'!$A$3:$J$14,9,))</f>
        <v/>
      </c>
      <c r="Q9" s="49" t="str">
        <f>IF(ISBLANK(G9),"",VLOOKUP(G9,'COC Info'!$A$3:$J$14,10,))</f>
        <v/>
      </c>
      <c r="R9" s="49" t="str">
        <f>IF(ISBLANK(G9),"",IF(AND(LOOKUP(G9,'COC Info'!$A$3:$A$14,'COC Info'!$K$3:$K$14)&lt;&gt;0,LOOKUP(G9,'COC Info'!$A$3:$A$14,'COC Info'!$K$3:$K$14)&gt;(P9/O9)),LOOKUP(G9,'COC Info'!$A$3:$A$14,'COC Info'!$K$3:$K$14),P9/O9))</f>
        <v/>
      </c>
      <c r="S9" s="49" t="str">
        <f t="shared" si="1"/>
        <v/>
      </c>
      <c r="T9" s="54" t="str">
        <f t="shared" si="2"/>
        <v/>
      </c>
      <c r="U9" s="54" t="str">
        <f t="shared" si="3"/>
        <v/>
      </c>
      <c r="V9" s="29"/>
      <c r="X9" s="21" t="s">
        <v>4</v>
      </c>
      <c r="Y9" s="19">
        <f>IF(COUNTIF($G$8:$G$19,'Data Entry'!X9)&gt;=1,"",ROW())</f>
        <v>9</v>
      </c>
      <c r="AA9" s="19" t="str">
        <f>IF(ROW('Data Entry'!X9)+1-8&gt;COUNT($Y$8:$Y$19),"",INDEX(X:X,SMALL($Y$8:$Y$19,ROW('Data Entry'!X9)+1-8)))</f>
        <v>1,3 Butadiene</v>
      </c>
    </row>
    <row r="10" spans="1:27">
      <c r="A10" s="28"/>
      <c r="B10" s="37" t="str">
        <f>'COC Info'!A5</f>
        <v>Aliphatic (C5-C8)</v>
      </c>
      <c r="C10" s="58">
        <f>IF('COC Info'!K5&gt;'COC Info'!I5/10,ROUND('COC Info'!K5,2-(1+INT(LOG10(ABS('COC Info'!K5))))),ROUND('COC Info'!I5/10,2-(1+INT(LOG10(ABS('COC Info'!I5/10))))))</f>
        <v>94</v>
      </c>
      <c r="D10" s="58">
        <f>ROUND('COC Info'!J5/10,2-(1+INT(LOG10(ABS('COC Info'!J5/10)))))</f>
        <v>260</v>
      </c>
      <c r="E10" s="59"/>
      <c r="F10" s="29">
        <v>3</v>
      </c>
      <c r="G10" s="41"/>
      <c r="H10" s="48" t="str">
        <f>IF(ISBLANK(G10),"",VLOOKUP(G10,'COC Info'!$A$3:$J$14,2,))</f>
        <v/>
      </c>
      <c r="I10" s="56" t="str">
        <f>IF(ISBLANK(G10),"",VLOOKUP(G10,'COC Info'!$A$3:$J$14,3,))</f>
        <v/>
      </c>
      <c r="J10" s="57" t="str">
        <f>IF(ISBLANK(G10),"",VLOOKUP(G10,'COC Info'!$A$3:$J$14,4,))</f>
        <v/>
      </c>
      <c r="K10" s="57" t="str">
        <f>IF(ISBLANK(G10),"",VLOOKUP(G10,'COC Info'!$A$3:$J$14,5,))</f>
        <v/>
      </c>
      <c r="L10" s="57" t="str">
        <f>IF(ISBLANK(G10),"",VLOOKUP(G10,'COC Info'!$A$3:$J$14,6,))</f>
        <v/>
      </c>
      <c r="M10" s="57" t="str">
        <f>IF(ISBLANK(G10),"",VLOOKUP(G10,'COC Info'!$A$3:$J$14,7,))</f>
        <v/>
      </c>
      <c r="N10" s="57" t="str">
        <f>IF(ISBLANK(G10),"",VLOOKUP(G10,'COC Info'!$A$3:$J$14,8,))</f>
        <v/>
      </c>
      <c r="O10" s="49" t="str">
        <f t="shared" si="0"/>
        <v/>
      </c>
      <c r="P10" s="49" t="str">
        <f>IF(ISBLANK(G10),"",VLOOKUP(G10,'COC Info'!$A$3:$J$14,9,))</f>
        <v/>
      </c>
      <c r="Q10" s="49" t="str">
        <f>IF(ISBLANK(G10),"",VLOOKUP(G10,'COC Info'!$A$3:$J$14,10,))</f>
        <v/>
      </c>
      <c r="R10" s="49" t="str">
        <f>IF(ISBLANK(G10),"",IF(AND(LOOKUP(G10,'COC Info'!$A$3:$A$14,'COC Info'!$K$3:$K$14)&lt;&gt;0,LOOKUP(G10,'COC Info'!$A$3:$A$14,'COC Info'!$K$3:$K$14)&gt;(P10/O10)),LOOKUP(G10,'COC Info'!$A$3:$A$14,'COC Info'!$K$3:$K$14),P10/O10))</f>
        <v/>
      </c>
      <c r="S10" s="49" t="str">
        <f t="shared" si="1"/>
        <v/>
      </c>
      <c r="T10" s="54" t="str">
        <f t="shared" si="2"/>
        <v/>
      </c>
      <c r="U10" s="54" t="str">
        <f t="shared" si="3"/>
        <v/>
      </c>
      <c r="V10" s="29"/>
      <c r="X10" s="22" t="s">
        <v>51</v>
      </c>
      <c r="Y10" s="19">
        <f>IF(COUNTIF($G$8:$G$19,'Data Entry'!X10)&gt;=1,"",ROW())</f>
        <v>10</v>
      </c>
      <c r="AA10" s="19" t="str">
        <f>IF(ROW('Data Entry'!X10)+1-8&gt;COUNT($Y$8:$Y$19),"",INDEX(X:X,SMALL($Y$8:$Y$19,ROW('Data Entry'!X10)+1-8)))</f>
        <v>Aliphatic (C5-C8)</v>
      </c>
    </row>
    <row r="11" spans="1:27">
      <c r="A11" s="28"/>
      <c r="B11" s="37" t="str">
        <f>'COC Info'!A6</f>
        <v>Aliphatic (C9-C12)</v>
      </c>
      <c r="C11" s="58">
        <f>IF('COC Info'!K6&gt;'COC Info'!I6/10,ROUND('COC Info'!K6,2-(1+INT(LOG10(ABS('COC Info'!K6))))),ROUND('COC Info'!I6/10,2-(1+INT(LOG10(ABS('COC Info'!I6/10))))))</f>
        <v>44</v>
      </c>
      <c r="D11" s="58">
        <f>ROUND('COC Info'!J6/10,2-(1+INT(LOG10(ABS('COC Info'!J6/10)))))</f>
        <v>44</v>
      </c>
      <c r="E11" s="59"/>
      <c r="F11" s="29">
        <v>4</v>
      </c>
      <c r="G11" s="41"/>
      <c r="H11" s="48" t="str">
        <f>IF(ISBLANK(G11),"",VLOOKUP(G11,'COC Info'!$A$3:$J$14,2,))</f>
        <v/>
      </c>
      <c r="I11" s="56" t="str">
        <f>IF(ISBLANK(G11),"",VLOOKUP(G11,'COC Info'!$A$3:$J$14,3,))</f>
        <v/>
      </c>
      <c r="J11" s="57" t="str">
        <f>IF(ISBLANK(G11),"",VLOOKUP(G11,'COC Info'!$A$3:$J$14,4,))</f>
        <v/>
      </c>
      <c r="K11" s="57" t="str">
        <f>IF(ISBLANK(G11),"",VLOOKUP(G11,'COC Info'!$A$3:$J$14,5,))</f>
        <v/>
      </c>
      <c r="L11" s="57" t="str">
        <f>IF(ISBLANK(G11),"",VLOOKUP(G11,'COC Info'!$A$3:$J$14,6,))</f>
        <v/>
      </c>
      <c r="M11" s="57" t="str">
        <f>IF(ISBLANK(G11),"",VLOOKUP(G11,'COC Info'!$A$3:$J$14,7,))</f>
        <v/>
      </c>
      <c r="N11" s="57" t="str">
        <f>IF(ISBLANK(G11),"",VLOOKUP(G11,'COC Info'!$A$3:$J$14,8,))</f>
        <v/>
      </c>
      <c r="O11" s="49" t="str">
        <f t="shared" si="0"/>
        <v/>
      </c>
      <c r="P11" s="49" t="str">
        <f>IF(ISBLANK(G11),"",VLOOKUP(G11,'COC Info'!$A$3:$J$14,9,))</f>
        <v/>
      </c>
      <c r="Q11" s="49" t="str">
        <f>IF(ISBLANK(G11),"",VLOOKUP(G11,'COC Info'!$A$3:$J$14,10,))</f>
        <v/>
      </c>
      <c r="R11" s="49" t="str">
        <f>IF(ISBLANK(G11),"",IF(AND(LOOKUP(G11,'COC Info'!$A$3:$A$14,'COC Info'!$K$3:$K$14)&lt;&gt;0,LOOKUP(G11,'COC Info'!$A$3:$A$14,'COC Info'!$K$3:$K$14)&gt;(P11/O11)),LOOKUP(G11,'COC Info'!$A$3:$A$14,'COC Info'!$K$3:$K$14),P11/O11))</f>
        <v/>
      </c>
      <c r="S11" s="49" t="str">
        <f t="shared" si="1"/>
        <v/>
      </c>
      <c r="T11" s="54" t="str">
        <f t="shared" si="2"/>
        <v/>
      </c>
      <c r="U11" s="54" t="str">
        <f t="shared" si="3"/>
        <v/>
      </c>
      <c r="V11" s="29"/>
      <c r="X11" s="22" t="s">
        <v>52</v>
      </c>
      <c r="Y11" s="19">
        <f>IF(COUNTIF($G$8:$G$19,'Data Entry'!X11)&gt;=1,"",ROW())</f>
        <v>11</v>
      </c>
      <c r="AA11" s="19" t="str">
        <f>IF(ROW('Data Entry'!X11)+1-8&gt;COUNT($Y$8:$Y$19),"",INDEX(X:X,SMALL($Y$8:$Y$19,ROW('Data Entry'!X11)+1-8)))</f>
        <v>Aliphatic (C9-C12)</v>
      </c>
    </row>
    <row r="12" spans="1:27">
      <c r="A12" s="28"/>
      <c r="B12" s="37" t="str">
        <f>'COC Info'!A7</f>
        <v>Aromatic (C9-C10)</v>
      </c>
      <c r="C12" s="58">
        <f>IF('COC Info'!K7&gt;'COC Info'!I7/10,ROUND('COC Info'!K7,2-(1+INT(LOG10(ABS('COC Info'!K7))))),ROUND('COC Info'!I7/10,2-(1+INT(LOG10(ABS('COC Info'!I7/10))))))</f>
        <v>10</v>
      </c>
      <c r="D12" s="58">
        <f>ROUND('COC Info'!J7/10,2-(1+INT(LOG10(ABS('COC Info'!J7/10)))))</f>
        <v>44</v>
      </c>
      <c r="E12" s="59"/>
      <c r="F12" s="29">
        <v>5</v>
      </c>
      <c r="G12" s="41"/>
      <c r="H12" s="48" t="str">
        <f>IF(ISBLANK(G12),"",VLOOKUP(G12,'COC Info'!$A$3:$J$14,2,))</f>
        <v/>
      </c>
      <c r="I12" s="56" t="str">
        <f>IF(ISBLANK(G12),"",VLOOKUP(G12,'COC Info'!$A$3:$J$14,3,))</f>
        <v/>
      </c>
      <c r="J12" s="57" t="str">
        <f>IF(ISBLANK(G12),"",VLOOKUP(G12,'COC Info'!$A$3:$J$14,4,))</f>
        <v/>
      </c>
      <c r="K12" s="57" t="str">
        <f>IF(ISBLANK(G12),"",VLOOKUP(G12,'COC Info'!$A$3:$J$14,5,))</f>
        <v/>
      </c>
      <c r="L12" s="57" t="str">
        <f>IF(ISBLANK(G12),"",VLOOKUP(G12,'COC Info'!$A$3:$J$14,6,))</f>
        <v/>
      </c>
      <c r="M12" s="57" t="str">
        <f>IF(ISBLANK(G12),"",VLOOKUP(G12,'COC Info'!$A$3:$J$14,7,))</f>
        <v/>
      </c>
      <c r="N12" s="57" t="str">
        <f>IF(ISBLANK(G12),"",VLOOKUP(G12,'COC Info'!$A$3:$J$14,8,))</f>
        <v/>
      </c>
      <c r="O12" s="49" t="str">
        <f t="shared" si="0"/>
        <v/>
      </c>
      <c r="P12" s="49" t="str">
        <f>IF(ISBLANK(G12),"",VLOOKUP(G12,'COC Info'!$A$3:$J$14,9,))</f>
        <v/>
      </c>
      <c r="Q12" s="49" t="str">
        <f>IF(ISBLANK(G12),"",VLOOKUP(G12,'COC Info'!$A$3:$J$14,10,))</f>
        <v/>
      </c>
      <c r="R12" s="49" t="str">
        <f>IF(ISBLANK(G12),"",IF(AND(LOOKUP(G12,'COC Info'!$A$3:$A$14,'COC Info'!$K$3:$K$14)&lt;&gt;0,LOOKUP(G12,'COC Info'!$A$3:$A$14,'COC Info'!$K$3:$K$14)&gt;(P12/O12)),LOOKUP(G12,'COC Info'!$A$3:$A$14,'COC Info'!$K$3:$K$14),P12/O12))</f>
        <v/>
      </c>
      <c r="S12" s="49" t="str">
        <f t="shared" si="1"/>
        <v/>
      </c>
      <c r="T12" s="54" t="str">
        <f t="shared" si="2"/>
        <v/>
      </c>
      <c r="U12" s="54" t="str">
        <f t="shared" si="3"/>
        <v/>
      </c>
      <c r="V12" s="29"/>
      <c r="X12" s="22" t="s">
        <v>53</v>
      </c>
      <c r="Y12" s="19">
        <f>IF(COUNTIF($G$8:$G$19,'Data Entry'!X12)&gt;=1,"",ROW())</f>
        <v>12</v>
      </c>
      <c r="AA12" s="19" t="str">
        <f>IF(ROW('Data Entry'!X12)+1-8&gt;COUNT($Y$8:$Y$19),"",INDEX(X:X,SMALL($Y$8:$Y$19,ROW('Data Entry'!X12)+1-8)))</f>
        <v>Aromatic (C9-C10)</v>
      </c>
    </row>
    <row r="13" spans="1:27">
      <c r="A13" s="28"/>
      <c r="B13" s="37" t="str">
        <f>'COC Info'!A8</f>
        <v>Benzene</v>
      </c>
      <c r="C13" s="58">
        <f>IF('COC Info'!K8&gt;'COC Info'!I8/10,ROUND('COC Info'!K8,2-(1+INT(LOG10(ABS('COC Info'!K8))))),ROUND('COC Info'!I8/10,2-(1+INT(LOG10(ABS('COC Info'!I8/10))))))</f>
        <v>1.3</v>
      </c>
      <c r="D13" s="58">
        <f>ROUND('COC Info'!J8/10,2-(1+INT(LOG10(ABS('COC Info'!J8/10)))))</f>
        <v>1.8</v>
      </c>
      <c r="E13" s="59"/>
      <c r="F13" s="29">
        <v>6</v>
      </c>
      <c r="G13" s="41"/>
      <c r="H13" s="48" t="str">
        <f>IF(ISBLANK(G13),"",VLOOKUP(G13,'COC Info'!$A$3:$J$14,2,))</f>
        <v/>
      </c>
      <c r="I13" s="56" t="str">
        <f>IF(ISBLANK(G13),"",VLOOKUP(G13,'COC Info'!$A$3:$J$14,3,))</f>
        <v/>
      </c>
      <c r="J13" s="57" t="str">
        <f>IF(ISBLANK(G13),"",VLOOKUP(G13,'COC Info'!$A$3:$J$14,4,))</f>
        <v/>
      </c>
      <c r="K13" s="57" t="str">
        <f>IF(ISBLANK(G13),"",VLOOKUP(G13,'COC Info'!$A$3:$J$14,5,))</f>
        <v/>
      </c>
      <c r="L13" s="57" t="str">
        <f>IF(ISBLANK(G13),"",VLOOKUP(G13,'COC Info'!$A$3:$J$14,6,))</f>
        <v/>
      </c>
      <c r="M13" s="57" t="str">
        <f>IF(ISBLANK(G13),"",VLOOKUP(G13,'COC Info'!$A$3:$J$14,7,))</f>
        <v/>
      </c>
      <c r="N13" s="57" t="str">
        <f>IF(ISBLANK(G13),"",VLOOKUP(G13,'COC Info'!$A$3:$J$14,8,))</f>
        <v/>
      </c>
      <c r="O13" s="49" t="str">
        <f t="shared" si="0"/>
        <v/>
      </c>
      <c r="P13" s="49" t="str">
        <f>IF(ISBLANK(G13),"",VLOOKUP(G13,'COC Info'!$A$3:$J$14,9,))</f>
        <v/>
      </c>
      <c r="Q13" s="49" t="str">
        <f>IF(ISBLANK(G13),"",VLOOKUP(G13,'COC Info'!$A$3:$J$14,10,))</f>
        <v/>
      </c>
      <c r="R13" s="49" t="str">
        <f>IF(ISBLANK(G13),"",IF(AND(LOOKUP(G13,'COC Info'!$A$3:$A$14,'COC Info'!$K$3:$K$14)&lt;&gt;0,LOOKUP(G13,'COC Info'!$A$3:$A$14,'COC Info'!$K$3:$K$14)&gt;(P13/O13)),LOOKUP(G13,'COC Info'!$A$3:$A$14,'COC Info'!$K$3:$K$14),P13/O13))</f>
        <v/>
      </c>
      <c r="S13" s="49" t="str">
        <f t="shared" si="1"/>
        <v/>
      </c>
      <c r="T13" s="54" t="str">
        <f t="shared" si="2"/>
        <v/>
      </c>
      <c r="U13" s="54" t="str">
        <f t="shared" si="3"/>
        <v/>
      </c>
      <c r="V13" s="29"/>
      <c r="X13" s="21" t="s">
        <v>0</v>
      </c>
      <c r="Y13" s="19">
        <f>IF(COUNTIF($G$8:$G$19,'Data Entry'!X13)&gt;=1,"",ROW())</f>
        <v>13</v>
      </c>
      <c r="AA13" s="19" t="str">
        <f>IF(ROW('Data Entry'!X13)+1-8&gt;COUNT($Y$8:$Y$19),"",INDEX(X:X,SMALL($Y$8:$Y$19,ROW('Data Entry'!X13)+1-8)))</f>
        <v>Benzene</v>
      </c>
    </row>
    <row r="14" spans="1:27">
      <c r="A14" s="28"/>
      <c r="B14" s="37" t="str">
        <f>'COC Info'!A9</f>
        <v>Ethylbenzene</v>
      </c>
      <c r="C14" s="58">
        <f>IF('COC Info'!K9&gt;'COC Info'!I9/10,ROUND('COC Info'!K9,2-(1+INT(LOG10(ABS('COC Info'!K9))))),ROUND('COC Info'!I9/10,2-(1+INT(LOG10(ABS('COC Info'!I9/10))))))</f>
        <v>1.2</v>
      </c>
      <c r="D14" s="58">
        <f>ROUND('COC Info'!J9/10,2-(1+INT(LOG10(ABS('COC Info'!J9/10)))))</f>
        <v>5.5</v>
      </c>
      <c r="E14" s="59"/>
      <c r="F14" s="29">
        <v>7</v>
      </c>
      <c r="G14" s="41"/>
      <c r="H14" s="48" t="str">
        <f>IF(ISBLANK(G14),"",VLOOKUP(G14,'COC Info'!$A$3:$J$14,2,))</f>
        <v/>
      </c>
      <c r="I14" s="56" t="str">
        <f>IF(ISBLANK(G14),"",VLOOKUP(G14,'COC Info'!$A$3:$J$14,3,))</f>
        <v/>
      </c>
      <c r="J14" s="57" t="str">
        <f>IF(ISBLANK(G14),"",VLOOKUP(G14,'COC Info'!$A$3:$J$14,4,))</f>
        <v/>
      </c>
      <c r="K14" s="57" t="str">
        <f>IF(ISBLANK(G14),"",VLOOKUP(G14,'COC Info'!$A$3:$J$14,5,))</f>
        <v/>
      </c>
      <c r="L14" s="57" t="str">
        <f>IF(ISBLANK(G14),"",VLOOKUP(G14,'COC Info'!$A$3:$J$14,6,))</f>
        <v/>
      </c>
      <c r="M14" s="57" t="str">
        <f>IF(ISBLANK(G14),"",VLOOKUP(G14,'COC Info'!$A$3:$J$14,7,))</f>
        <v/>
      </c>
      <c r="N14" s="57" t="str">
        <f>IF(ISBLANK(G14),"",VLOOKUP(G14,'COC Info'!$A$3:$J$14,8,))</f>
        <v/>
      </c>
      <c r="O14" s="49" t="str">
        <f t="shared" si="0"/>
        <v/>
      </c>
      <c r="P14" s="49" t="str">
        <f>IF(ISBLANK(G14),"",VLOOKUP(G14,'COC Info'!$A$3:$J$14,9,))</f>
        <v/>
      </c>
      <c r="Q14" s="49" t="str">
        <f>IF(ISBLANK(G14),"",VLOOKUP(G14,'COC Info'!$A$3:$J$14,10,))</f>
        <v/>
      </c>
      <c r="R14" s="49" t="str">
        <f>IF(ISBLANK(G14),"",IF(AND(LOOKUP(G14,'COC Info'!$A$3:$A$14,'COC Info'!$K$3:$K$14)&lt;&gt;0,LOOKUP(G14,'COC Info'!$A$3:$A$14,'COC Info'!$K$3:$K$14)&gt;(P14/O14)),LOOKUP(G14,'COC Info'!$A$3:$A$14,'COC Info'!$K$3:$K$14),P14/O14))</f>
        <v/>
      </c>
      <c r="S14" s="49" t="str">
        <f t="shared" si="1"/>
        <v/>
      </c>
      <c r="T14" s="54" t="str">
        <f t="shared" si="2"/>
        <v/>
      </c>
      <c r="U14" s="54" t="str">
        <f t="shared" si="3"/>
        <v/>
      </c>
      <c r="V14" s="29"/>
      <c r="X14" s="22" t="s">
        <v>6</v>
      </c>
      <c r="Y14" s="19">
        <f>IF(COUNTIF($G$8:$G$19,'Data Entry'!X14)&gt;=1,"",ROW())</f>
        <v>14</v>
      </c>
      <c r="AA14" s="19" t="str">
        <f>IF(ROW('Data Entry'!X14)+1-8&gt;COUNT($Y$8:$Y$19),"",INDEX(X:X,SMALL($Y$8:$Y$19,ROW('Data Entry'!X14)+1-8)))</f>
        <v>Ethylbenzene</v>
      </c>
    </row>
    <row r="15" spans="1:27">
      <c r="A15" s="28"/>
      <c r="B15" s="37" t="str">
        <f>'COC Info'!A10</f>
        <v>Ethylene Dibromide (EDB)</v>
      </c>
      <c r="C15" s="58">
        <f>IF('COC Info'!K10&gt;'COC Info'!I10/10,ROUND('COC Info'!K10,2-(1+INT(LOG10(ABS('COC Info'!K10))))),ROUND('COC Info'!I10/10,2-(1+INT(LOG10(ABS('COC Info'!I10/10))))))</f>
        <v>5.1999999999999998E-3</v>
      </c>
      <c r="D15" s="58">
        <f>ROUND('COC Info'!J10/10,2-(1+INT(LOG10(ABS('COC Info'!J10/10)))))</f>
        <v>2.1999999999999999E-2</v>
      </c>
      <c r="E15" s="59"/>
      <c r="F15" s="29">
        <v>8</v>
      </c>
      <c r="G15" s="41"/>
      <c r="H15" s="48" t="str">
        <f>IF(ISBLANK(G15),"",VLOOKUP(G15,'COC Info'!$A$3:$J$14,2,))</f>
        <v/>
      </c>
      <c r="I15" s="56" t="str">
        <f>IF(ISBLANK(G15),"",VLOOKUP(G15,'COC Info'!$A$3:$J$14,3,))</f>
        <v/>
      </c>
      <c r="J15" s="57" t="str">
        <f>IF(ISBLANK(G15),"",VLOOKUP(G15,'COC Info'!$A$3:$J$14,4,))</f>
        <v/>
      </c>
      <c r="K15" s="57" t="str">
        <f>IF(ISBLANK(G15),"",VLOOKUP(G15,'COC Info'!$A$3:$J$14,5,))</f>
        <v/>
      </c>
      <c r="L15" s="57" t="str">
        <f>IF(ISBLANK(G15),"",VLOOKUP(G15,'COC Info'!$A$3:$J$14,6,))</f>
        <v/>
      </c>
      <c r="M15" s="57" t="str">
        <f>IF(ISBLANK(G15),"",VLOOKUP(G15,'COC Info'!$A$3:$J$14,7,))</f>
        <v/>
      </c>
      <c r="N15" s="57" t="str">
        <f>IF(ISBLANK(G15),"",VLOOKUP(G15,'COC Info'!$A$3:$J$14,8,))</f>
        <v/>
      </c>
      <c r="O15" s="49" t="str">
        <f t="shared" si="0"/>
        <v/>
      </c>
      <c r="P15" s="49" t="str">
        <f>IF(ISBLANK(G15),"",VLOOKUP(G15,'COC Info'!$A$3:$J$14,9,))</f>
        <v/>
      </c>
      <c r="Q15" s="49" t="str">
        <f>IF(ISBLANK(G15),"",VLOOKUP(G15,'COC Info'!$A$3:$J$14,10,))</f>
        <v/>
      </c>
      <c r="R15" s="49" t="str">
        <f>IF(ISBLANK(G15),"",IF(AND(LOOKUP(G15,'COC Info'!$A$3:$A$14,'COC Info'!$K$3:$K$14)&lt;&gt;0,LOOKUP(G15,'COC Info'!$A$3:$A$14,'COC Info'!$K$3:$K$14)&gt;(P15/O15)),LOOKUP(G15,'COC Info'!$A$3:$A$14,'COC Info'!$K$3:$K$14),P15/O15))</f>
        <v/>
      </c>
      <c r="S15" s="49" t="str">
        <f t="shared" si="1"/>
        <v/>
      </c>
      <c r="T15" s="54" t="str">
        <f t="shared" si="2"/>
        <v/>
      </c>
      <c r="U15" s="54" t="str">
        <f t="shared" si="3"/>
        <v/>
      </c>
      <c r="V15" s="29"/>
      <c r="X15" s="23" t="s">
        <v>9</v>
      </c>
      <c r="Y15" s="19">
        <f>IF(COUNTIF($G$8:$G$19,'Data Entry'!X15)&gt;=1,"",ROW())</f>
        <v>15</v>
      </c>
      <c r="AA15" s="19" t="str">
        <f>IF(ROW('Data Entry'!X15)+1-8&gt;COUNT($Y$8:$Y$19),"",INDEX(X:X,SMALL($Y$8:$Y$19,ROW('Data Entry'!X15)+1-8)))</f>
        <v>Ethylene Dibromide (EDB)</v>
      </c>
    </row>
    <row r="16" spans="1:27">
      <c r="A16" s="28"/>
      <c r="B16" s="37" t="str">
        <f>'COC Info'!A11</f>
        <v>MTBE</v>
      </c>
      <c r="C16" s="58">
        <f>IF('COC Info'!K11&gt;'COC Info'!I11/10,ROUND('COC Info'!K11,2-(1+INT(LOG10(ABS('COC Info'!K11))))),ROUND('COC Info'!I11/10,2-(1+INT(LOG10(ABS('COC Info'!I11/10))))))</f>
        <v>12</v>
      </c>
      <c r="D16" s="58">
        <f>ROUND('COC Info'!J11/10,2-(1+INT(LOG10(ABS('COC Info'!J11/10)))))</f>
        <v>52</v>
      </c>
      <c r="E16" s="59"/>
      <c r="F16" s="29">
        <v>9</v>
      </c>
      <c r="G16" s="41"/>
      <c r="H16" s="48" t="str">
        <f>IF(ISBLANK(G16),"",VLOOKUP(G16,'COC Info'!$A$3:$J$14,2,))</f>
        <v/>
      </c>
      <c r="I16" s="56" t="str">
        <f>IF(ISBLANK(G16),"",VLOOKUP(G16,'COC Info'!$A$3:$J$14,3,))</f>
        <v/>
      </c>
      <c r="J16" s="57" t="str">
        <f>IF(ISBLANK(G16),"",VLOOKUP(G16,'COC Info'!$A$3:$J$14,4,))</f>
        <v/>
      </c>
      <c r="K16" s="57" t="str">
        <f>IF(ISBLANK(G16),"",VLOOKUP(G16,'COC Info'!$A$3:$J$14,5,))</f>
        <v/>
      </c>
      <c r="L16" s="57" t="str">
        <f>IF(ISBLANK(G16),"",VLOOKUP(G16,'COC Info'!$A$3:$J$14,6,))</f>
        <v/>
      </c>
      <c r="M16" s="57" t="str">
        <f>IF(ISBLANK(G16),"",VLOOKUP(G16,'COC Info'!$A$3:$J$14,7,))</f>
        <v/>
      </c>
      <c r="N16" s="57" t="str">
        <f>IF(ISBLANK(G16),"",VLOOKUP(G16,'COC Info'!$A$3:$J$14,8,))</f>
        <v/>
      </c>
      <c r="O16" s="49" t="str">
        <f t="shared" si="0"/>
        <v/>
      </c>
      <c r="P16" s="49" t="str">
        <f>IF(ISBLANK(G16),"",VLOOKUP(G16,'COC Info'!$A$3:$J$14,9,))</f>
        <v/>
      </c>
      <c r="Q16" s="49" t="str">
        <f>IF(ISBLANK(G16),"",VLOOKUP(G16,'COC Info'!$A$3:$J$14,10,))</f>
        <v/>
      </c>
      <c r="R16" s="49" t="str">
        <f>IF(ISBLANK(G16),"",IF(AND(LOOKUP(G16,'COC Info'!$A$3:$A$14,'COC Info'!$K$3:$K$14)&lt;&gt;0,LOOKUP(G16,'COC Info'!$A$3:$A$14,'COC Info'!$K$3:$K$14)&gt;(P16/O16)),LOOKUP(G16,'COC Info'!$A$3:$A$14,'COC Info'!$K$3:$K$14),P16/O16))</f>
        <v/>
      </c>
      <c r="S16" s="49" t="str">
        <f t="shared" si="1"/>
        <v/>
      </c>
      <c r="T16" s="54" t="str">
        <f t="shared" si="2"/>
        <v/>
      </c>
      <c r="U16" s="54" t="str">
        <f t="shared" si="3"/>
        <v/>
      </c>
      <c r="V16" s="29"/>
      <c r="X16" s="21" t="s">
        <v>8</v>
      </c>
      <c r="Y16" s="19">
        <f>IF(COUNTIF($G$8:$G$19,'Data Entry'!X16)&gt;=1,"",ROW())</f>
        <v>16</v>
      </c>
      <c r="AA16" s="19" t="str">
        <f>IF(ROW('Data Entry'!X16)+1-8&gt;COUNT($Y$8:$Y$19),"",INDEX(X:X,SMALL($Y$8:$Y$19,ROW('Data Entry'!X16)+1-8)))</f>
        <v>MTBE</v>
      </c>
    </row>
    <row r="17" spans="1:27">
      <c r="A17" s="28"/>
      <c r="B17" s="37" t="str">
        <f>'COC Info'!A12</f>
        <v>Naphthalene</v>
      </c>
      <c r="C17" s="58">
        <f>IF('COC Info'!K12&gt;'COC Info'!I12/10,ROUND('COC Info'!K12,2-(1+INT(LOG10(ABS('COC Info'!K12))))),ROUND('COC Info'!I12/10,2-(1+INT(LOG10(ABS('COC Info'!I12/10))))))</f>
        <v>0.39</v>
      </c>
      <c r="D17" s="58">
        <f>ROUND('COC Info'!J12/10,2-(1+INT(LOG10(ABS('COC Info'!J12/10)))))</f>
        <v>0.4</v>
      </c>
      <c r="E17" s="59"/>
      <c r="F17" s="29">
        <v>10</v>
      </c>
      <c r="G17" s="41"/>
      <c r="H17" s="48" t="str">
        <f>IF(ISBLANK(G17),"",VLOOKUP(G17,'COC Info'!$A$3:$J$14,2,))</f>
        <v/>
      </c>
      <c r="I17" s="56" t="str">
        <f>IF(ISBLANK(G17),"",VLOOKUP(G17,'COC Info'!$A$3:$J$14,3,))</f>
        <v/>
      </c>
      <c r="J17" s="57" t="str">
        <f>IF(ISBLANK(G17),"",VLOOKUP(G17,'COC Info'!$A$3:$J$14,4,))</f>
        <v/>
      </c>
      <c r="K17" s="57" t="str">
        <f>IF(ISBLANK(G17),"",VLOOKUP(G17,'COC Info'!$A$3:$J$14,5,))</f>
        <v/>
      </c>
      <c r="L17" s="57" t="str">
        <f>IF(ISBLANK(G17),"",VLOOKUP(G17,'COC Info'!$A$3:$J$14,6,))</f>
        <v/>
      </c>
      <c r="M17" s="57" t="str">
        <f>IF(ISBLANK(G17),"",VLOOKUP(G17,'COC Info'!$A$3:$J$14,7,))</f>
        <v/>
      </c>
      <c r="N17" s="57" t="str">
        <f>IF(ISBLANK(G17),"",VLOOKUP(G17,'COC Info'!$A$3:$J$14,8,))</f>
        <v/>
      </c>
      <c r="O17" s="49" t="str">
        <f t="shared" si="0"/>
        <v/>
      </c>
      <c r="P17" s="49" t="str">
        <f>IF(ISBLANK(G17),"",VLOOKUP(G17,'COC Info'!$A$3:$J$14,9,))</f>
        <v/>
      </c>
      <c r="Q17" s="49" t="str">
        <f>IF(ISBLANK(G17),"",VLOOKUP(G17,'COC Info'!$A$3:$J$14,10,))</f>
        <v/>
      </c>
      <c r="R17" s="49" t="str">
        <f>IF(ISBLANK(G17),"",IF(AND(LOOKUP(G17,'COC Info'!$A$3:$A$14,'COC Info'!$K$3:$K$14)&lt;&gt;0,LOOKUP(G17,'COC Info'!$A$3:$A$14,'COC Info'!$K$3:$K$14)&gt;(P17/O17)),LOOKUP(G17,'COC Info'!$A$3:$A$14,'COC Info'!$K$3:$K$14),P17/O17))</f>
        <v/>
      </c>
      <c r="S17" s="49" t="str">
        <f t="shared" si="1"/>
        <v/>
      </c>
      <c r="T17" s="54" t="str">
        <f t="shared" si="2"/>
        <v/>
      </c>
      <c r="U17" s="54" t="str">
        <f t="shared" si="3"/>
        <v/>
      </c>
      <c r="V17" s="29"/>
      <c r="X17" s="22" t="s">
        <v>7</v>
      </c>
      <c r="Y17" s="19">
        <f>IF(COUNTIF($G$8:$G$19,'Data Entry'!X17)&gt;=1,"",ROW())</f>
        <v>17</v>
      </c>
      <c r="AA17" s="19" t="str">
        <f>IF(ROW('Data Entry'!X17)+1-8&gt;COUNT($Y$8:$Y$19),"",INDEX(X:X,SMALL($Y$8:$Y$19,ROW('Data Entry'!X17)+1-8)))</f>
        <v>Naphthalene</v>
      </c>
    </row>
    <row r="18" spans="1:27">
      <c r="A18" s="28"/>
      <c r="B18" s="37" t="str">
        <f>'COC Info'!A13</f>
        <v xml:space="preserve">Toluene </v>
      </c>
      <c r="C18" s="58">
        <f>IF('COC Info'!K13&gt;'COC Info'!I13/10,ROUND('COC Info'!K13,2-(1+INT(LOG10(ABS('COC Info'!K13))))),ROUND('COC Info'!I13/10,2-(1+INT(LOG10(ABS('COC Info'!I13/10))))))</f>
        <v>520</v>
      </c>
      <c r="D18" s="58">
        <f>ROUND('COC Info'!J13/10,2-(1+INT(LOG10(ABS('COC Info'!J13/10)))))</f>
        <v>2200</v>
      </c>
      <c r="E18" s="59"/>
      <c r="F18" s="29">
        <v>11</v>
      </c>
      <c r="G18" s="41"/>
      <c r="H18" s="48" t="str">
        <f>IF(ISBLANK(G18),"",VLOOKUP(G18,'COC Info'!$A$3:$J$14,2,))</f>
        <v/>
      </c>
      <c r="I18" s="56" t="str">
        <f>IF(ISBLANK(G18),"",VLOOKUP(G18,'COC Info'!$A$3:$J$14,3,))</f>
        <v/>
      </c>
      <c r="J18" s="57" t="str">
        <f>IF(ISBLANK(G18),"",VLOOKUP(G18,'COC Info'!$A$3:$J$14,4,))</f>
        <v/>
      </c>
      <c r="K18" s="57" t="str">
        <f>IF(ISBLANK(G18),"",VLOOKUP(G18,'COC Info'!$A$3:$J$14,5,))</f>
        <v/>
      </c>
      <c r="L18" s="57" t="str">
        <f>IF(ISBLANK(G18),"",VLOOKUP(G18,'COC Info'!$A$3:$J$14,6,))</f>
        <v/>
      </c>
      <c r="M18" s="57" t="str">
        <f>IF(ISBLANK(G18),"",VLOOKUP(G18,'COC Info'!$A$3:$J$14,7,))</f>
        <v/>
      </c>
      <c r="N18" s="57" t="str">
        <f>IF(ISBLANK(G18),"",VLOOKUP(G18,'COC Info'!$A$3:$J$14,8,))</f>
        <v/>
      </c>
      <c r="O18" s="49" t="str">
        <f t="shared" si="0"/>
        <v/>
      </c>
      <c r="P18" s="49" t="str">
        <f>IF(ISBLANK(G18),"",VLOOKUP(G18,'COC Info'!$A$3:$J$14,9,))</f>
        <v/>
      </c>
      <c r="Q18" s="49" t="str">
        <f>IF(ISBLANK(G18),"",VLOOKUP(G18,'COC Info'!$A$3:$J$14,10,))</f>
        <v/>
      </c>
      <c r="R18" s="49" t="str">
        <f>IF(ISBLANK(G18),"",IF(AND(LOOKUP(G18,'COC Info'!$A$3:$A$14,'COC Info'!$K$3:$K$14)&lt;&gt;0,LOOKUP(G18,'COC Info'!$A$3:$A$14,'COC Info'!$K$3:$K$14)&gt;(P18/O18)),LOOKUP(G18,'COC Info'!$A$3:$A$14,'COC Info'!$K$3:$K$14),P18/O18))</f>
        <v/>
      </c>
      <c r="S18" s="49" t="str">
        <f t="shared" si="1"/>
        <v/>
      </c>
      <c r="T18" s="54" t="str">
        <f t="shared" si="2"/>
        <v/>
      </c>
      <c r="U18" s="54" t="str">
        <f t="shared" si="3"/>
        <v/>
      </c>
      <c r="V18" s="29"/>
      <c r="X18" s="22" t="s">
        <v>5</v>
      </c>
      <c r="Y18" s="19">
        <f>IF(COUNTIF($G$8:$G$19,'Data Entry'!X18)&gt;=1,"",ROW())</f>
        <v>18</v>
      </c>
      <c r="AA18" s="19" t="str">
        <f>IF(ROW('Data Entry'!X18)+1-8&gt;COUNT($Y$8:$Y$19),"",INDEX(X:X,SMALL($Y$8:$Y$19,ROW('Data Entry'!X18)+1-8)))</f>
        <v xml:space="preserve">Toluene </v>
      </c>
    </row>
    <row r="19" spans="1:27">
      <c r="A19" s="28"/>
      <c r="B19" s="37" t="str">
        <f>'COC Info'!A14</f>
        <v>Xylenes (mix of mp &amp; o)</v>
      </c>
      <c r="C19" s="58">
        <f>IF('COC Info'!K14&gt;'COC Info'!I14/10,ROUND('COC Info'!K14,2-(1+INT(LOG10(ABS('COC Info'!K14))))),ROUND('COC Info'!I14/10,2-(1+INT(LOG10(ABS('COC Info'!I14/10))))))</f>
        <v>10</v>
      </c>
      <c r="D19" s="58">
        <f>ROUND('COC Info'!J14/10,2-(1+INT(LOG10(ABS('COC Info'!J14/10)))))</f>
        <v>44</v>
      </c>
      <c r="E19" s="59"/>
      <c r="F19" s="29">
        <v>12</v>
      </c>
      <c r="G19" s="41"/>
      <c r="H19" s="48" t="str">
        <f>IF(ISBLANK(G19),"",VLOOKUP(G19,'COC Info'!$A$3:$J$14,2,))</f>
        <v/>
      </c>
      <c r="I19" s="56" t="str">
        <f>IF(ISBLANK(G19),"",VLOOKUP(G19,'COC Info'!$A$3:$J$14,3,))</f>
        <v/>
      </c>
      <c r="J19" s="57" t="str">
        <f>IF(ISBLANK(G19),"",VLOOKUP(G19,'COC Info'!$A$3:$J$14,4,))</f>
        <v/>
      </c>
      <c r="K19" s="57" t="str">
        <f>IF(ISBLANK(G19),"",VLOOKUP(G19,'COC Info'!$A$3:$J$14,5,))</f>
        <v/>
      </c>
      <c r="L19" s="57" t="str">
        <f>IF(ISBLANK(G19),"",VLOOKUP(G19,'COC Info'!$A$3:$J$14,6,))</f>
        <v/>
      </c>
      <c r="M19" s="57" t="str">
        <f>IF(ISBLANK(G19),"",VLOOKUP(G19,'COC Info'!$A$3:$J$14,7,))</f>
        <v/>
      </c>
      <c r="N19" s="57" t="str">
        <f>IF(ISBLANK(G19),"",VLOOKUP(G19,'COC Info'!$A$3:$J$14,8,))</f>
        <v/>
      </c>
      <c r="O19" s="49" t="str">
        <f t="shared" si="0"/>
        <v/>
      </c>
      <c r="P19" s="49" t="str">
        <f>IF(ISBLANK(G19),"",VLOOKUP(G19,'COC Info'!$A$3:$J$14,9,))</f>
        <v/>
      </c>
      <c r="Q19" s="49" t="str">
        <f>IF(ISBLANK(G19),"",VLOOKUP(G19,'COC Info'!$A$3:$J$14,10,))</f>
        <v/>
      </c>
      <c r="R19" s="49" t="str">
        <f>IF(ISBLANK(G19),"",IF(AND(LOOKUP(G19,'COC Info'!$A$3:$A$14,'COC Info'!$K$3:$K$14)&lt;&gt;0,LOOKUP(G19,'COC Info'!$A$3:$A$14,'COC Info'!$K$3:$K$14)&gt;(P19/O19)),LOOKUP(G19,'COC Info'!$A$3:$A$14,'COC Info'!$K$3:$K$14),P19/O19))</f>
        <v/>
      </c>
      <c r="S19" s="49" t="str">
        <f t="shared" si="1"/>
        <v/>
      </c>
      <c r="T19" s="54" t="str">
        <f t="shared" si="2"/>
        <v/>
      </c>
      <c r="U19" s="54" t="str">
        <f t="shared" si="3"/>
        <v/>
      </c>
      <c r="V19" s="29"/>
      <c r="X19" s="22" t="s">
        <v>65</v>
      </c>
      <c r="Y19" s="19">
        <f>IF(COUNTIF($G$8:$G$19,'Data Entry'!X19)&gt;=1,"",ROW())</f>
        <v>19</v>
      </c>
      <c r="AA19" s="19" t="str">
        <f>IF(ROW('Data Entry'!X19)+1-8&gt;COUNT($Y$8:$Y$19),"",INDEX(X:X,SMALL($Y$8:$Y$19,ROW('Data Entry'!X19)+1-8)))</f>
        <v>Xylenes (mix of mp &amp; o)</v>
      </c>
    </row>
    <row r="20" spans="1:27">
      <c r="A20" s="28"/>
      <c r="B20" s="28"/>
      <c r="C20" s="28"/>
      <c r="D20" s="28"/>
      <c r="E20" s="28"/>
      <c r="F20" s="29"/>
      <c r="G20" s="29"/>
      <c r="H20" s="29"/>
      <c r="I20" s="33"/>
      <c r="J20" s="33"/>
      <c r="K20" s="33"/>
      <c r="L20" s="33"/>
      <c r="M20" s="33"/>
      <c r="N20" s="33"/>
      <c r="O20" s="29"/>
      <c r="P20" s="29"/>
      <c r="Q20" s="29"/>
      <c r="R20" s="29"/>
      <c r="S20" s="29"/>
      <c r="T20" s="29"/>
      <c r="U20" s="29"/>
      <c r="V20" s="29"/>
    </row>
    <row r="21" spans="1:27" ht="14.25">
      <c r="A21" s="28"/>
      <c r="B21" s="61" t="s">
        <v>66</v>
      </c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</row>
    <row r="22" spans="1:27" ht="27" customHeight="1">
      <c r="A22" s="28"/>
      <c r="B22" s="62" t="s">
        <v>67</v>
      </c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</row>
    <row r="23" spans="1:27">
      <c r="A23" s="28"/>
      <c r="B23" s="72" t="s">
        <v>63</v>
      </c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</row>
    <row r="24" spans="1:27">
      <c r="A24" s="28"/>
      <c r="B24" s="28"/>
      <c r="C24" s="28"/>
      <c r="D24" s="28"/>
      <c r="E24" s="28"/>
      <c r="F24" s="28"/>
      <c r="G24" s="34"/>
      <c r="H24" s="28"/>
      <c r="I24" s="50"/>
      <c r="J24" s="50"/>
      <c r="K24" s="50"/>
      <c r="L24" s="50"/>
      <c r="M24" s="50"/>
      <c r="N24" s="50"/>
      <c r="O24" s="28"/>
      <c r="P24" s="28"/>
      <c r="Q24" s="28"/>
      <c r="R24" s="28"/>
      <c r="S24" s="28"/>
      <c r="T24" s="28"/>
      <c r="U24" s="28"/>
      <c r="V24" s="28"/>
    </row>
    <row r="25" spans="1:27">
      <c r="G25" s="22"/>
    </row>
    <row r="26" spans="1:27">
      <c r="G26" s="22"/>
    </row>
    <row r="27" spans="1:27">
      <c r="G27" s="22"/>
    </row>
    <row r="28" spans="1:27">
      <c r="G28" s="21"/>
    </row>
    <row r="29" spans="1:27">
      <c r="G29" s="22"/>
    </row>
    <row r="30" spans="1:27">
      <c r="G30" s="23"/>
    </row>
    <row r="31" spans="1:27">
      <c r="G31" s="22"/>
    </row>
    <row r="32" spans="1:27">
      <c r="G32" s="21"/>
    </row>
    <row r="33" spans="7:7">
      <c r="G33" s="22"/>
    </row>
    <row r="34" spans="7:7">
      <c r="G34" s="22"/>
    </row>
    <row r="35" spans="7:7">
      <c r="G35" s="22"/>
    </row>
    <row r="37" spans="7:7">
      <c r="G37" s="20"/>
    </row>
  </sheetData>
  <sheetProtection selectLockedCells="1"/>
  <dataConsolidate/>
  <mergeCells count="9">
    <mergeCell ref="A1:V1"/>
    <mergeCell ref="B5:B6"/>
    <mergeCell ref="G5:G6"/>
    <mergeCell ref="B2:V2"/>
    <mergeCell ref="B3:V3"/>
    <mergeCell ref="B21:V21"/>
    <mergeCell ref="B22:V22"/>
    <mergeCell ref="T6:U6"/>
    <mergeCell ref="C6:D6"/>
  </mergeCells>
  <phoneticPr fontId="1" type="noConversion"/>
  <dataValidations count="3">
    <dataValidation showErrorMessage="1" sqref="C7:E7 G7:S7"/>
    <dataValidation sqref="H8:S19"/>
    <dataValidation type="list" allowBlank="1" showInputMessage="1" showErrorMessage="1" sqref="G8:G19">
      <formula1>OFFSET($AA$8,0,0,COUNTA($AA$8:$AA$19)-COUNTBLANK($AA$8:$AA$19),1)</formula1>
    </dataValidation>
  </dataValidations>
  <hyperlinks>
    <hyperlink ref="B23" r:id="rId1"/>
  </hyperlinks>
  <pageMargins left="0.75" right="0.75" top="1" bottom="1" header="0.5" footer="0.5"/>
  <pageSetup scale="61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O27"/>
  <sheetViews>
    <sheetView workbookViewId="0">
      <selection activeCell="A15" sqref="A15"/>
    </sheetView>
  </sheetViews>
  <sheetFormatPr defaultRowHeight="12.75"/>
  <cols>
    <col min="1" max="1" width="23.140625" bestFit="1" customWidth="1"/>
    <col min="3" max="3" width="18.7109375" style="16" bestFit="1" customWidth="1"/>
    <col min="4" max="8" width="18.5703125" style="16" customWidth="1"/>
    <col min="9" max="9" width="11.7109375" bestFit="1" customWidth="1"/>
    <col min="10" max="10" width="9.42578125" bestFit="1" customWidth="1"/>
    <col min="11" max="11" width="20.7109375" bestFit="1" customWidth="1"/>
    <col min="12" max="12" width="10.42578125" bestFit="1" customWidth="1"/>
    <col min="14" max="14" width="30.7109375" customWidth="1"/>
  </cols>
  <sheetData>
    <row r="1" spans="1:15" ht="14.25">
      <c r="A1" s="5"/>
      <c r="B1" s="5"/>
      <c r="C1" s="17"/>
      <c r="D1" s="17"/>
      <c r="E1" s="17"/>
      <c r="F1" s="17"/>
      <c r="G1" s="17"/>
      <c r="H1" s="17"/>
      <c r="I1" s="71" t="s">
        <v>24</v>
      </c>
      <c r="J1" s="71"/>
      <c r="K1" s="52" t="s">
        <v>70</v>
      </c>
      <c r="L1" s="5"/>
    </row>
    <row r="2" spans="1:15" ht="14.25" customHeight="1">
      <c r="A2" s="6" t="s">
        <v>1</v>
      </c>
      <c r="B2" s="6" t="s">
        <v>15</v>
      </c>
      <c r="C2" s="15" t="s">
        <v>25</v>
      </c>
      <c r="D2" s="15" t="s">
        <v>26</v>
      </c>
      <c r="E2" s="15" t="s">
        <v>27</v>
      </c>
      <c r="F2" s="15" t="s">
        <v>28</v>
      </c>
      <c r="G2" s="15" t="s">
        <v>29</v>
      </c>
      <c r="H2" s="15" t="s">
        <v>30</v>
      </c>
      <c r="I2" s="6" t="s">
        <v>2</v>
      </c>
      <c r="J2" s="6" t="s">
        <v>3</v>
      </c>
      <c r="K2" s="6" t="s">
        <v>13</v>
      </c>
      <c r="L2" s="6" t="s">
        <v>14</v>
      </c>
      <c r="N2" s="5" t="s">
        <v>48</v>
      </c>
      <c r="O2" s="5" t="s">
        <v>49</v>
      </c>
    </row>
    <row r="3" spans="1:15" ht="14.25" customHeight="1">
      <c r="A3" s="7" t="s">
        <v>10</v>
      </c>
      <c r="B3" s="3" t="s">
        <v>12</v>
      </c>
      <c r="C3" s="18" t="s">
        <v>31</v>
      </c>
      <c r="D3" s="18"/>
      <c r="E3" s="18"/>
      <c r="F3" s="18"/>
      <c r="G3" s="18"/>
      <c r="H3" s="18"/>
      <c r="I3" s="14">
        <f>1.1*(78/70)</f>
        <v>1.2257142857142858</v>
      </c>
      <c r="J3" s="13">
        <f>4.7*(78/70)</f>
        <v>5.2371428571428575</v>
      </c>
      <c r="K3" s="53">
        <v>0.23</v>
      </c>
      <c r="L3" s="3">
        <v>5</v>
      </c>
      <c r="N3" s="25" t="s">
        <v>47</v>
      </c>
      <c r="O3" s="2" t="s">
        <v>19</v>
      </c>
    </row>
    <row r="4" spans="1:15" ht="14.25" customHeight="1">
      <c r="A4" s="2" t="s">
        <v>4</v>
      </c>
      <c r="B4" s="3" t="s">
        <v>12</v>
      </c>
      <c r="C4" s="18" t="s">
        <v>20</v>
      </c>
      <c r="D4" s="18"/>
      <c r="E4" s="18"/>
      <c r="F4" s="18"/>
      <c r="G4" s="18"/>
      <c r="H4" s="18"/>
      <c r="I4" s="8">
        <f>0.94*(78/70)</f>
        <v>1.0474285714285714</v>
      </c>
      <c r="J4" s="8">
        <f>4.1*(78/70)</f>
        <v>4.5685714285714285</v>
      </c>
      <c r="K4" s="8"/>
      <c r="L4" s="3">
        <v>5</v>
      </c>
      <c r="N4" s="26" t="s">
        <v>68</v>
      </c>
      <c r="O4" s="2" t="s">
        <v>23</v>
      </c>
    </row>
    <row r="5" spans="1:15">
      <c r="A5" s="9" t="s">
        <v>51</v>
      </c>
      <c r="B5" s="3" t="s">
        <v>11</v>
      </c>
      <c r="C5" s="18" t="s">
        <v>18</v>
      </c>
      <c r="D5" s="18"/>
      <c r="E5" s="18"/>
      <c r="F5" s="18"/>
      <c r="G5" s="18"/>
      <c r="H5" s="18"/>
      <c r="I5" s="10">
        <v>626</v>
      </c>
      <c r="J5" s="11">
        <v>2628</v>
      </c>
      <c r="K5" s="11">
        <v>94</v>
      </c>
      <c r="L5" s="3">
        <v>1</v>
      </c>
      <c r="N5" s="2" t="s">
        <v>69</v>
      </c>
      <c r="O5" s="2" t="s">
        <v>35</v>
      </c>
    </row>
    <row r="6" spans="1:15">
      <c r="A6" s="9" t="s">
        <v>52</v>
      </c>
      <c r="B6" s="3" t="s">
        <v>11</v>
      </c>
      <c r="C6" s="18" t="s">
        <v>18</v>
      </c>
      <c r="D6" s="18" t="s">
        <v>22</v>
      </c>
      <c r="E6" s="18"/>
      <c r="F6" s="18"/>
      <c r="G6" s="18"/>
      <c r="H6" s="18"/>
      <c r="I6" s="10">
        <v>104</v>
      </c>
      <c r="J6" s="11">
        <v>438</v>
      </c>
      <c r="K6" s="11">
        <v>44</v>
      </c>
      <c r="L6" s="3">
        <v>1</v>
      </c>
      <c r="N6" s="2" t="s">
        <v>41</v>
      </c>
      <c r="O6" s="2" t="s">
        <v>31</v>
      </c>
    </row>
    <row r="7" spans="1:15">
      <c r="A7" s="9" t="s">
        <v>53</v>
      </c>
      <c r="B7" s="3" t="s">
        <v>11</v>
      </c>
      <c r="C7" s="18" t="s">
        <v>35</v>
      </c>
      <c r="D7" s="18"/>
      <c r="E7" s="18"/>
      <c r="F7" s="18"/>
      <c r="G7" s="18"/>
      <c r="H7" s="18"/>
      <c r="I7" s="10">
        <v>104</v>
      </c>
      <c r="J7" s="11">
        <v>438</v>
      </c>
      <c r="K7" s="11"/>
      <c r="L7" s="3">
        <v>1</v>
      </c>
      <c r="N7" s="2" t="s">
        <v>42</v>
      </c>
      <c r="O7" s="2" t="s">
        <v>32</v>
      </c>
    </row>
    <row r="8" spans="1:15">
      <c r="A8" s="2" t="s">
        <v>0</v>
      </c>
      <c r="B8" s="3" t="s">
        <v>12</v>
      </c>
      <c r="C8" s="18"/>
      <c r="D8" s="18"/>
      <c r="E8" s="18"/>
      <c r="F8" s="18"/>
      <c r="G8" s="18"/>
      <c r="H8" s="18"/>
      <c r="I8" s="8">
        <f>3.6*(78/70)</f>
        <v>4.0114285714285716</v>
      </c>
      <c r="J8" s="8">
        <f>16*(78/70)</f>
        <v>17.828571428571429</v>
      </c>
      <c r="K8" s="8">
        <v>1.3</v>
      </c>
      <c r="L8" s="3">
        <v>5</v>
      </c>
      <c r="N8" s="9" t="s">
        <v>43</v>
      </c>
      <c r="O8" s="2" t="s">
        <v>21</v>
      </c>
    </row>
    <row r="9" spans="1:15">
      <c r="A9" s="9" t="s">
        <v>6</v>
      </c>
      <c r="B9" s="3" t="s">
        <v>12</v>
      </c>
      <c r="C9" s="18" t="s">
        <v>21</v>
      </c>
      <c r="D9" s="18"/>
      <c r="E9" s="18"/>
      <c r="F9" s="18"/>
      <c r="G9" s="18"/>
      <c r="H9" s="18"/>
      <c r="I9" s="8">
        <f>11*(78/70)</f>
        <v>12.257142857142858</v>
      </c>
      <c r="J9" s="8">
        <f>49*(78/70)</f>
        <v>54.6</v>
      </c>
      <c r="K9" s="8">
        <v>1.1000000000000001</v>
      </c>
      <c r="L9" s="3">
        <v>5</v>
      </c>
      <c r="N9" s="9" t="s">
        <v>44</v>
      </c>
      <c r="O9" s="2" t="s">
        <v>33</v>
      </c>
    </row>
    <row r="10" spans="1:15" ht="15" customHeight="1">
      <c r="A10" s="12" t="s">
        <v>9</v>
      </c>
      <c r="B10" s="3" t="s">
        <v>12</v>
      </c>
      <c r="C10" s="18" t="s">
        <v>18</v>
      </c>
      <c r="D10" s="18"/>
      <c r="E10" s="18"/>
      <c r="F10" s="18"/>
      <c r="G10" s="18"/>
      <c r="H10" s="18"/>
      <c r="I10" s="14">
        <f>0.047*(78/70)</f>
        <v>5.2371428571428576E-2</v>
      </c>
      <c r="J10" s="14">
        <f>0.2*(78/70)</f>
        <v>0.22285714285714286</v>
      </c>
      <c r="K10" s="14"/>
      <c r="L10" s="3">
        <v>5</v>
      </c>
      <c r="N10" s="9" t="s">
        <v>45</v>
      </c>
      <c r="O10" s="2" t="s">
        <v>34</v>
      </c>
    </row>
    <row r="11" spans="1:15">
      <c r="A11" s="2" t="s">
        <v>8</v>
      </c>
      <c r="B11" s="3" t="s">
        <v>12</v>
      </c>
      <c r="C11" s="18" t="s">
        <v>31</v>
      </c>
      <c r="D11" s="18" t="s">
        <v>32</v>
      </c>
      <c r="E11" s="18" t="s">
        <v>33</v>
      </c>
      <c r="F11" s="18" t="s">
        <v>34</v>
      </c>
      <c r="G11" s="18"/>
      <c r="H11" s="18"/>
      <c r="I11" s="8">
        <f>110*(78/70)</f>
        <v>122.57142857142857</v>
      </c>
      <c r="J11" s="8">
        <f>470*(78/70)</f>
        <v>523.71428571428578</v>
      </c>
      <c r="K11" s="8"/>
      <c r="L11" s="3">
        <v>5</v>
      </c>
      <c r="N11" s="9" t="s">
        <v>46</v>
      </c>
      <c r="O11" s="2" t="s">
        <v>20</v>
      </c>
    </row>
    <row r="12" spans="1:15">
      <c r="A12" s="9" t="s">
        <v>7</v>
      </c>
      <c r="B12" s="3" t="s">
        <v>12</v>
      </c>
      <c r="C12" s="18"/>
      <c r="D12" s="18"/>
      <c r="E12" s="18"/>
      <c r="F12" s="18"/>
      <c r="G12" s="18"/>
      <c r="H12" s="18"/>
      <c r="I12" s="8">
        <f>0.83*(78/70)</f>
        <v>0.92485714285714282</v>
      </c>
      <c r="J12" s="8">
        <f>3.6*(78/70)</f>
        <v>4.0114285714285716</v>
      </c>
      <c r="K12" s="53">
        <v>0.39</v>
      </c>
      <c r="L12" s="3">
        <v>5</v>
      </c>
      <c r="N12" s="9" t="s">
        <v>50</v>
      </c>
      <c r="O12" s="2" t="s">
        <v>18</v>
      </c>
    </row>
    <row r="13" spans="1:15">
      <c r="A13" s="9" t="s">
        <v>5</v>
      </c>
      <c r="B13" s="3" t="s">
        <v>11</v>
      </c>
      <c r="C13" s="18" t="s">
        <v>19</v>
      </c>
      <c r="D13" s="18"/>
      <c r="E13" s="18"/>
      <c r="F13" s="18"/>
      <c r="G13" s="18"/>
      <c r="H13" s="18"/>
      <c r="I13" s="11">
        <v>5200</v>
      </c>
      <c r="J13" s="11">
        <v>22000</v>
      </c>
      <c r="K13" s="11"/>
      <c r="L13" s="3">
        <v>1</v>
      </c>
      <c r="N13" s="4" t="s">
        <v>64</v>
      </c>
      <c r="O13" s="4" t="s">
        <v>22</v>
      </c>
    </row>
    <row r="14" spans="1:15">
      <c r="A14" s="9" t="s">
        <v>65</v>
      </c>
      <c r="B14" s="3" t="s">
        <v>11</v>
      </c>
      <c r="C14" s="18" t="s">
        <v>23</v>
      </c>
      <c r="D14" s="18"/>
      <c r="E14" s="18"/>
      <c r="F14" s="18"/>
      <c r="G14" s="18"/>
      <c r="H14" s="18"/>
      <c r="I14" s="11">
        <v>100</v>
      </c>
      <c r="J14" s="11">
        <v>440</v>
      </c>
      <c r="K14" s="11"/>
      <c r="L14" s="3">
        <v>1</v>
      </c>
    </row>
    <row r="16" spans="1:15">
      <c r="A16" s="51"/>
      <c r="B16" s="2"/>
      <c r="D16" s="2"/>
    </row>
    <row r="17" spans="1:2">
      <c r="A17" s="26"/>
      <c r="B17" s="2"/>
    </row>
    <row r="18" spans="1:2">
      <c r="A18" s="2"/>
    </row>
    <row r="19" spans="1:2">
      <c r="A19" s="2"/>
      <c r="B19" s="2"/>
    </row>
    <row r="21" spans="1:2">
      <c r="A21" s="9"/>
      <c r="B21" s="2"/>
    </row>
    <row r="22" spans="1:2">
      <c r="A22" s="9"/>
      <c r="B22" s="2"/>
    </row>
    <row r="23" spans="1:2">
      <c r="A23" s="9"/>
      <c r="B23" s="2"/>
    </row>
    <row r="24" spans="1:2">
      <c r="A24" s="9"/>
      <c r="B24" s="2"/>
    </row>
    <row r="25" spans="1:2">
      <c r="A25" s="9"/>
      <c r="B25" s="2"/>
    </row>
    <row r="26" spans="1:2">
      <c r="A26" s="9"/>
      <c r="B26" s="2"/>
    </row>
    <row r="27" spans="1:2">
      <c r="A27" s="1"/>
    </row>
  </sheetData>
  <mergeCells count="1">
    <mergeCell ref="I1:J1"/>
  </mergeCells>
  <phoneticPr fontId="1" type="noConversion"/>
  <pageMargins left="0.75" right="0.75" top="1" bottom="1" header="0.5" footer="0.5"/>
  <pageSetup paperSize="5" scale="72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Entry</vt:lpstr>
      <vt:lpstr>COC Info</vt:lpstr>
    </vt:vector>
  </TitlesOfParts>
  <Company>MT DEQ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Seyler</dc:creator>
  <cp:lastModifiedBy>Administrator</cp:lastModifiedBy>
  <cp:lastPrinted>2016-10-07T17:58:15Z</cp:lastPrinted>
  <dcterms:created xsi:type="dcterms:W3CDTF">2009-12-22T15:58:52Z</dcterms:created>
  <dcterms:modified xsi:type="dcterms:W3CDTF">2016-10-07T18:07:35Z</dcterms:modified>
</cp:coreProperties>
</file>